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linc\Downloads\"/>
    </mc:Choice>
  </mc:AlternateContent>
  <xr:revisionPtr revIDLastSave="0" documentId="13_ncr:1_{92757948-E54E-45A7-BD5B-F5E6E7851169}" xr6:coauthVersionLast="47" xr6:coauthVersionMax="47" xr10:uidLastSave="{00000000-0000-0000-0000-000000000000}"/>
  <bookViews>
    <workbookView xWindow="-110" yWindow="-110" windowWidth="25180" windowHeight="16140" tabRatio="500" firstSheet="6" activeTab="8" xr2:uid="{00000000-000D-0000-FFFF-FFFF00000000}"/>
  </bookViews>
  <sheets>
    <sheet name="1 · Your Business Today" sheetId="1" r:id="rId1"/>
    <sheet name="2 · Your Copilot Practice" sheetId="2" r:id="rId2"/>
    <sheet name="3 · Before vs After" sheetId="3" r:id="rId3"/>
    <sheet name="4 · Executive Summary" sheetId="4" r:id="rId4"/>
    <sheet name="5 · Scenario Analysis" sheetId="5" r:id="rId5"/>
    <sheet name="6 · Engagement Mechanics" sheetId="6" r:id="rId6"/>
    <sheet name="7 · Sprint Templates" sheetId="7" r:id="rId7"/>
    <sheet name="8 · Activation Worklist" sheetId="8" r:id="rId8"/>
    <sheet name="9 · Agent Build Worklist" sheetId="9"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6" l="1"/>
  <c r="D33" i="6"/>
  <c r="D32" i="6"/>
  <c r="D31" i="6"/>
  <c r="E30" i="5"/>
  <c r="I26" i="5"/>
  <c r="E26" i="5"/>
  <c r="D26" i="5"/>
  <c r="C26" i="5"/>
  <c r="H26" i="5" s="1"/>
  <c r="C17" i="5"/>
  <c r="C16" i="5"/>
  <c r="C15" i="5"/>
  <c r="B6" i="4"/>
  <c r="C41" i="3"/>
  <c r="C40" i="3"/>
  <c r="D40" i="3" s="1"/>
  <c r="E40" i="3" s="1"/>
  <c r="F40" i="3" s="1"/>
  <c r="C10" i="3"/>
  <c r="E9" i="3"/>
  <c r="G9" i="3" s="1"/>
  <c r="C9" i="3"/>
  <c r="E8" i="3"/>
  <c r="G8" i="3" s="1"/>
  <c r="C8" i="3"/>
  <c r="H46" i="2"/>
  <c r="C22" i="5" s="1"/>
  <c r="H45" i="2"/>
  <c r="F36" i="2"/>
  <c r="H40" i="2" s="1"/>
  <c r="J35" i="2"/>
  <c r="F35" i="2"/>
  <c r="F34" i="2"/>
  <c r="J34" i="2" s="1"/>
  <c r="F33" i="2"/>
  <c r="J33" i="2" s="1"/>
  <c r="F32" i="2"/>
  <c r="C29" i="2"/>
  <c r="F29" i="2" s="1"/>
  <c r="H29" i="2" s="1"/>
  <c r="J29" i="2" s="1"/>
  <c r="C28" i="2"/>
  <c r="F28" i="2" s="1"/>
  <c r="H28" i="2" s="1"/>
  <c r="D25" i="2"/>
  <c r="C25" i="2"/>
  <c r="F25" i="2" s="1"/>
  <c r="H25" i="2" s="1"/>
  <c r="J25" i="2" s="1"/>
  <c r="C22" i="2"/>
  <c r="F22" i="2" s="1"/>
  <c r="H22" i="2" s="1"/>
  <c r="J22" i="2" s="1"/>
  <c r="C21" i="2"/>
  <c r="F21" i="2" s="1"/>
  <c r="H21" i="2" s="1"/>
  <c r="F17" i="2"/>
  <c r="H17" i="2" s="1"/>
  <c r="F12" i="2"/>
  <c r="H12" i="2" s="1"/>
  <c r="F7" i="2"/>
  <c r="H7" i="2" s="1"/>
  <c r="B56" i="1"/>
  <c r="D52" i="1"/>
  <c r="C52" i="1"/>
  <c r="C51" i="1"/>
  <c r="D50" i="1"/>
  <c r="C50" i="1"/>
  <c r="G40" i="1"/>
  <c r="G39" i="1"/>
  <c r="C39" i="1"/>
  <c r="E21" i="3" s="1"/>
  <c r="G37" i="1"/>
  <c r="C30" i="1"/>
  <c r="C29" i="1"/>
  <c r="G21" i="1"/>
  <c r="G12" i="1"/>
  <c r="G11" i="1"/>
  <c r="G10" i="1"/>
  <c r="C10" i="1"/>
  <c r="C14" i="1" s="1"/>
  <c r="G9" i="1"/>
  <c r="E41" i="7"/>
  <c r="D41" i="7"/>
  <c r="C41" i="7"/>
  <c r="E40" i="7"/>
  <c r="D40" i="7"/>
  <c r="C40" i="7"/>
  <c r="B60" i="2" l="1"/>
  <c r="C18" i="5"/>
  <c r="J7" i="2"/>
  <c r="H39" i="2"/>
  <c r="J52" i="2"/>
  <c r="H49" i="2"/>
  <c r="B59" i="2" s="1"/>
  <c r="J12" i="2"/>
  <c r="J56" i="2"/>
  <c r="J28" i="2"/>
  <c r="J53" i="2"/>
  <c r="J17" i="2"/>
  <c r="F40" i="2"/>
  <c r="G40" i="3"/>
  <c r="D30" i="5"/>
  <c r="I30" i="5" s="1"/>
  <c r="C30" i="5"/>
  <c r="H30" i="5" s="1"/>
  <c r="E29" i="5"/>
  <c r="D29" i="5"/>
  <c r="C29" i="5"/>
  <c r="H29" i="5" s="1"/>
  <c r="D41" i="3"/>
  <c r="E41" i="3" s="1"/>
  <c r="F41" i="3" s="1"/>
  <c r="G41" i="3" s="1"/>
  <c r="C7" i="3"/>
  <c r="C12" i="3" s="1"/>
  <c r="D49" i="1"/>
  <c r="C49" i="1"/>
  <c r="C18" i="1"/>
  <c r="C39" i="3"/>
  <c r="G36" i="1"/>
  <c r="G16" i="1"/>
  <c r="C15" i="3" s="1"/>
  <c r="E15" i="3" s="1"/>
  <c r="G15" i="3" s="1"/>
  <c r="E7" i="3"/>
  <c r="J36" i="2"/>
  <c r="G20" i="1"/>
  <c r="G22" i="1" s="1"/>
  <c r="E20" i="3"/>
  <c r="C20" i="3"/>
  <c r="J21" i="2"/>
  <c r="J55" i="2"/>
  <c r="J54" i="2"/>
  <c r="C6" i="4"/>
  <c r="D6" i="4"/>
  <c r="J32" i="2"/>
  <c r="C21" i="3"/>
  <c r="G21" i="3" s="1"/>
  <c r="G20" i="3" l="1"/>
  <c r="E23" i="3"/>
  <c r="I29" i="5"/>
  <c r="C23" i="3"/>
  <c r="C13" i="4" s="1"/>
  <c r="G7" i="3"/>
  <c r="E28" i="5"/>
  <c r="D28" i="5"/>
  <c r="C28" i="5"/>
  <c r="H28" i="5" s="1"/>
  <c r="D39" i="3"/>
  <c r="G13" i="1"/>
  <c r="C20" i="5"/>
  <c r="G17" i="1"/>
  <c r="F24" i="1" s="1"/>
  <c r="C21" i="5" s="1"/>
  <c r="G33" i="1"/>
  <c r="H12" i="1"/>
  <c r="H11" i="1"/>
  <c r="G32" i="1"/>
  <c r="G31" i="1"/>
  <c r="E6" i="4"/>
  <c r="H21" i="1"/>
  <c r="H20" i="1"/>
  <c r="G29" i="1"/>
  <c r="G28" i="1"/>
  <c r="H22" i="1"/>
  <c r="H9" i="1"/>
  <c r="H10" i="1"/>
  <c r="C19" i="5"/>
  <c r="H41" i="2"/>
  <c r="J41" i="2"/>
  <c r="D12" i="3"/>
  <c r="D21" i="3"/>
  <c r="C34" i="3"/>
  <c r="C20" i="4" s="1"/>
  <c r="D10" i="3"/>
  <c r="D20" i="3"/>
  <c r="C32" i="3"/>
  <c r="C19" i="4" s="1"/>
  <c r="D8" i="3"/>
  <c r="C31" i="3"/>
  <c r="C17" i="4" s="1"/>
  <c r="C11" i="4"/>
  <c r="D9" i="3"/>
  <c r="D7" i="3"/>
  <c r="C17" i="3"/>
  <c r="D15" i="3"/>
  <c r="H17" i="1" l="1"/>
  <c r="E27" i="5"/>
  <c r="C27" i="5"/>
  <c r="D27" i="5"/>
  <c r="G30" i="1"/>
  <c r="B58" i="2"/>
  <c r="E10" i="3"/>
  <c r="C42" i="3"/>
  <c r="F6" i="4"/>
  <c r="H47" i="2"/>
  <c r="H48" i="2" s="1"/>
  <c r="I41" i="2"/>
  <c r="E39" i="3"/>
  <c r="H24" i="1"/>
  <c r="I28" i="5"/>
  <c r="C12" i="4"/>
  <c r="D12" i="4" s="1"/>
  <c r="C26" i="3"/>
  <c r="D17" i="3"/>
  <c r="D13" i="4"/>
  <c r="D11" i="4"/>
  <c r="E13" i="4"/>
  <c r="G13" i="4" s="1"/>
  <c r="G23" i="3"/>
  <c r="D23" i="3"/>
  <c r="F39" i="3" l="1"/>
  <c r="G10" i="3"/>
  <c r="E12" i="3"/>
  <c r="C32" i="5"/>
  <c r="C31" i="5"/>
  <c r="H27" i="5"/>
  <c r="C14" i="4"/>
  <c r="D14" i="4" s="1"/>
  <c r="C33" i="3"/>
  <c r="C18" i="4" s="1"/>
  <c r="D26" i="3"/>
  <c r="D42" i="3"/>
  <c r="C43" i="3"/>
  <c r="D32" i="5"/>
  <c r="D31" i="5"/>
  <c r="E32" i="5"/>
  <c r="I32" i="5" s="1"/>
  <c r="E31" i="5"/>
  <c r="I31" i="5" s="1"/>
  <c r="I27" i="5"/>
  <c r="C33" i="5"/>
  <c r="D33" i="5"/>
  <c r="E33" i="5"/>
  <c r="I33" i="5" s="1"/>
  <c r="H33" i="5" l="1"/>
  <c r="C46" i="3"/>
  <c r="E42" i="3"/>
  <c r="D43" i="3"/>
  <c r="C47" i="3" s="1"/>
  <c r="H31" i="5"/>
  <c r="H32" i="5"/>
  <c r="F21" i="3"/>
  <c r="E34" i="3"/>
  <c r="E20" i="4" s="1"/>
  <c r="F10" i="3"/>
  <c r="F20" i="3"/>
  <c r="F9" i="3"/>
  <c r="F8" i="3"/>
  <c r="F23" i="3"/>
  <c r="F15" i="3"/>
  <c r="E11" i="4"/>
  <c r="F7" i="3"/>
  <c r="E17" i="3"/>
  <c r="G12" i="3"/>
  <c r="F12" i="3"/>
  <c r="E31" i="3"/>
  <c r="E17" i="4" s="1"/>
  <c r="G39" i="3"/>
  <c r="E12" i="4" l="1"/>
  <c r="G12" i="4" s="1"/>
  <c r="G17" i="3"/>
  <c r="E26" i="3"/>
  <c r="F13" i="4"/>
  <c r="G11" i="4"/>
  <c r="F11" i="4"/>
  <c r="F12" i="4"/>
  <c r="E32" i="3"/>
  <c r="E19" i="4" s="1"/>
  <c r="F17" i="3"/>
  <c r="F42" i="3"/>
  <c r="E43" i="3"/>
  <c r="C48" i="3" s="1"/>
  <c r="G42" i="3" l="1"/>
  <c r="F43" i="3"/>
  <c r="E14" i="4"/>
  <c r="G26" i="3"/>
  <c r="E33" i="3"/>
  <c r="E18" i="4" s="1"/>
  <c r="F26" i="3"/>
  <c r="G14" i="4" l="1"/>
  <c r="F14" i="4"/>
  <c r="C49" i="3"/>
  <c r="G4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11" authorId="0" shapeId="0" xr:uid="{00000000-0006-0000-0000-000001000000}">
      <text>
        <r>
          <rPr>
            <sz val="11"/>
            <color theme="1"/>
            <rFont val="Calibri"/>
            <family val="2"/>
            <charset val="1"/>
          </rPr>
          <t>M365 Price Charged to Customers:
────────────────────────────────
Enter what you actually invoice customers per M365 seat per month.
Typical blended rates:
  • Business Basic:    ~$7–9/user/mo
  • Business Standard: ~$13–16/user/mo
  • Business Premium:  ~$23–27/user/mo
  • Blended (mix):     ~$20–26/user/mo
This drives License Revenue (row 14) = seats × this rate × 12.
Your COST is handled separately in the COGS section below
using your CSP margin % (row 42).</t>
        </r>
      </text>
    </comment>
    <comment ref="C16" authorId="0" shapeId="0" xr:uid="{00000000-0006-0000-0000-000002000000}">
      <text>
        <r>
          <rPr>
            <sz val="11"/>
            <color theme="1"/>
            <rFont val="Calibri"/>
            <family val="2"/>
            <charset val="1"/>
          </rPr>
          <t>Azure Billed to Customers:
──────────────────────────
Enter the total annual Azure spend you bill to customers.
This is the REVENUE figure — what customers pay you.
Include: Azure consumption + any project/architecture fees
billed as part of Azure engagements.
Your COST is your TD SYNNEX CSP cost, handled by the
Azure Consumption Gross Margin % in row 44 below.
COGS = Azure Revenue × (1 – margin %)
e.g. $616,000 × 90% = $554,400 cost → $61,600 GP</t>
        </r>
      </text>
    </comment>
    <comment ref="G16" authorId="0" shapeId="0" xr:uid="{00000000-0006-0000-0000-000003000000}">
      <text>
        <r>
          <rPr>
            <sz val="11"/>
            <color theme="1"/>
            <rFont val="Calibri"/>
            <family val="2"/>
            <charset val="1"/>
          </rPr>
          <t>How COGS Is Calculated:
────────────────────────
= License Revenue × (1 – M365 margin %)     [row 14 × (1–C42)]
+ Tools per customer × customer count        [C43 × C8]
+ Subcontractor / overflow labor             [C46]
+ Azure Revenue × (1 – Azure margin %)       [row 16 × (1–C44)]
+ Copilot Revenue × platform cost %          [row 17 × C45]
Labor is NOT in COGS — it's in SG&amp;A below.
This matches how Service Leadership Index measures
managed service gross margin.</t>
        </r>
      </text>
    </comment>
    <comment ref="B42" authorId="0" shapeId="0" xr:uid="{00000000-0006-0000-0000-000004000000}">
      <text>
        <r>
          <rPr>
            <sz val="11"/>
            <color theme="1"/>
            <rFont val="Calibri"/>
            <family val="2"/>
            <charset val="1"/>
          </rPr>
          <t>M365 CSP Gross Margin — What It Means:
─────────────────────────────────────────
This is the net margin you keep on M365 license resale.
Typical ranges:
  • Base CSP reseller margin: 5–7%
  • With partner incentives &amp; volume: 8–12%
  • TD SYNNEX distributor programs may add 1–3%
Default of 6% is deliberately conservative — typical for
a growing SMB partner without heavy volume incentives.
COGS formula: License Revenue × (1 – this %)
Sources: Microsoft CSP Program Guide; TD SYNNEX partner
economics data; Partner Economics Profitability Study 2024.</t>
        </r>
      </text>
    </comment>
    <comment ref="C42" authorId="0" shapeId="0" xr:uid="{00000000-0006-0000-0000-000005000000}">
      <text>
        <r>
          <rPr>
            <sz val="11"/>
            <color theme="1"/>
            <rFont val="Calibri"/>
            <family val="2"/>
            <charset val="1"/>
          </rPr>
          <t>M365 CSP Gross Margin % — Your TD SYNNEX Margin:
──────────────────────────────────────────────────
This is the margin YOU KEEP on M365 license resale.
How it connects to the P&amp;L:
  License Revenue (row 14) = seats × price × 12
  License COGS = Revenue × (1 – this %)
  License GP   = Revenue × this %
Example at 6%:
  Revenue: $576,000 → COGS: $541,440 → GP: $34,560
Typical ranges:
  • Base CSP reseller margin: 5–7%
  • With partner incentives/volume: 8–12%
  • TD SYNNEX programs may add 1–3%
Sources: Microsoft CSP Program Guide;
TD SYNNEX partner economics; Partner Economics 2024.</t>
        </r>
      </text>
    </comment>
    <comment ref="B43" authorId="0" shapeId="0" xr:uid="{00000000-0006-0000-0000-000006000000}">
      <text>
        <r>
          <rPr>
            <sz val="11"/>
            <color theme="1"/>
            <rFont val="Calibri"/>
            <family val="2"/>
            <charset val="1"/>
          </rPr>
          <t>MSP Toolstack Cost Benchmark:
Includes RMM (e.g., ConnectWise Automate), PSA (Manage),
documentation (IT Glue), backup, security tooling.
Datto/ConnectWise 2024: avg SMB MSP spends $60–80/
endpoint/month on tooling. At 40 users/customer:
40 × $1.67/mo avg × 12 = ~$800/customer/year.
Adjust up if you use premium security stack (CrowdStrike etc.)</t>
        </r>
      </text>
    </comment>
    <comment ref="C43" authorId="0" shapeId="0" xr:uid="{00000000-0006-0000-0000-000007000000}">
      <text>
        <r>
          <rPr>
            <sz val="11"/>
            <color theme="1"/>
            <rFont val="Calibri"/>
            <family val="2"/>
            <charset val="1"/>
          </rPr>
          <t>MSP Toolstack Cost Benchmark:
Includes RMM (e.g., ConnectWise Automate), PSA (Manage),
documentation (IT Glue), backup, security tooling.
Datto/ConnectWise 2024: avg SMB MSP spends $60–80/
endpoint/month on tooling. At 40 users/customer:
40 × $1.67/mo avg × 12 = ~$800/customer/year.
Adjust up if you use premium security stack (CrowdStrike etc.)</t>
        </r>
      </text>
    </comment>
    <comment ref="B44" authorId="0" shapeId="0" xr:uid="{00000000-0006-0000-0000-000008000000}">
      <text>
        <r>
          <rPr>
            <sz val="11"/>
            <color theme="1"/>
            <rFont val="Calibri"/>
            <family val="2"/>
            <charset val="1"/>
          </rPr>
          <t>Azure Consumption Gross Margin — What It Means:
─────────────────────────────────────────────────
Margin on pure Azure consumption pass-through (before
project/architecture labor, which sits in SG&amp;A).
Typical ranges:
  • Small SMB partner (&lt;$500K Azure): 5–8%
  • Growing partner with CSP discounts: 8–12%
  • Mature partner with EA alignment: 12–15%
NOTE: Azure project labor is NOT included here.
Project margin is captured in MW Services revenue.
COGS formula: Azure Revenue × (1 – this %)
Sources: Microsoft CSP Azure pricing; Partner Economics
2024; Datto MSP Benchmark Report 2024.</t>
        </r>
      </text>
    </comment>
    <comment ref="C44" authorId="0" shapeId="0" xr:uid="{00000000-0006-0000-0000-000009000000}">
      <text>
        <r>
          <rPr>
            <sz val="11"/>
            <color theme="1"/>
            <rFont val="Calibri"/>
            <family val="2"/>
            <charset val="1"/>
          </rPr>
          <t>Azure Consumption Gross Margin % — Your TD SYNNEX Margin:
───────────────────────────────────────────────────────────
This is the margin YOU KEEP on Azure consumption resale.
How it connects to the P&amp;L:
  Azure Revenue (row 16) = what customers pay you
  Azure COGS = Revenue × (1 – this %)
  Azure GP   = Revenue × this %
Example at 10%:
  Revenue: $616,000 → COGS: $554,400 → GP: $61,600
NOTE: Azure project labor is NOT included here.
Project work margin is captured in MW Services (row 15).
Typical ranges:
  • Small SMB partner (&lt;$500K Azure): 5–8%
  • Growing partner with CSP discounts: 8–12%
  • Mature partner with volume: 12–15%
Sources: Microsoft CSP Azure pricing;
Partner Economics 2024; Datto MSP Benchmark 2024.</t>
        </r>
      </text>
    </comment>
    <comment ref="B45" authorId="0" shapeId="0" xr:uid="{00000000-0006-0000-0000-00000A000000}">
      <text>
        <r>
          <rPr>
            <sz val="11"/>
            <color theme="1"/>
            <rFont val="Calibri"/>
            <family val="2"/>
            <charset val="1"/>
          </rPr>
          <t>Copilot COGS Components:
1. M365 Copilot CSP license: ~$28/user/mo cost vs $30 MSRP
   (93% cost on license-only revenue).
2. Copilot Studio message packs: ~$200/25K messages.
3. Delivery labor (already in SG&amp;A) excluded from this line.
Blended across T1/T2/T3 retainer mix at CPB pricing:
weighted platform cost ≈ 56% of total AI practice revenue.
Adjust down as practice matures and agent efficiency improves.</t>
        </r>
      </text>
    </comment>
    <comment ref="C45" authorId="0" shapeId="0" xr:uid="{00000000-0006-0000-0000-00000B000000}">
      <text>
        <r>
          <rPr>
            <sz val="11"/>
            <color theme="1"/>
            <rFont val="Calibri"/>
            <family val="2"/>
            <charset val="1"/>
          </rPr>
          <t>Copilot COGS Components:
1. M365 Copilot CSP license: ~$28/user/mo cost vs $30 MSRP
   (93% cost on license-only revenue).
2. Copilot Studio message packs: ~$200/25K messages.
3. Delivery labor (already in SG&amp;A) excluded from this line.
Blended across T1/T2/T3 retainer mix at CPB pricing:
weighted platform cost ≈ 56% of total AI practice revenue.
Adjust down as practice matures and agent efficiency improves.</t>
        </r>
      </text>
    </comment>
    <comment ref="B46" authorId="0" shapeId="0" xr:uid="{00000000-0006-0000-0000-00000C000000}">
      <text>
        <r>
          <rPr>
            <sz val="11"/>
            <color theme="1"/>
            <rFont val="Calibri"/>
            <family val="2"/>
            <charset val="1"/>
          </rPr>
          <t>Subcontractor &amp; Overflow Labor:
9-person team needs surge capacity for peaks, specialist skills,
or backfill during PTO. Common sources:
• ServiceSolv (TD SYNNEX): on-demand Level 1–3 support
• Pax8 Professional Services: project overflow
• 1099 contractors: specialty skills (security, Azure)
Estimate: ~400 hours/year at avg $100/hr blended rate.
ConnectWise benchmark: avg MSP subcontracts 8–15% of
total delivery hours. Adjust based on your bench depth.</t>
        </r>
      </text>
    </comment>
    <comment ref="C46" authorId="0" shapeId="0" xr:uid="{00000000-0006-0000-0000-00000D000000}">
      <text>
        <r>
          <rPr>
            <sz val="11"/>
            <color theme="1"/>
            <rFont val="Calibri"/>
            <family val="2"/>
            <charset val="1"/>
          </rPr>
          <t>Subcontractor &amp; Overflow Labor:
9-person team needs surge capacity for peaks, specialist skills,
or backfill during PTO. Common sources:
• ServiceSolv (TD SYNNEX): on-demand Level 1–3 support
• Pax8 Professional Services: project overflow
• 1099 contractors: specialty skills (security, Azure)
Estimate: ~400 hours/year at avg $100/hr blended rate.
ConnectWise benchmark: avg MSP subcontracts 8–15% of
total delivery hours. Adjust based on your bench depth.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CPB Model</author>
  </authors>
  <commentList>
    <comment ref="C21" authorId="0" shapeId="0" xr:uid="{00000000-0006-0000-0100-000001000000}">
      <text>
        <r>
          <rPr>
            <sz val="11"/>
            <color theme="1"/>
            <rFont val="Calibri"/>
            <family val="2"/>
            <charset val="1"/>
          </rPr>
          <t>AUTO-POPULATED — do not edit.
This cell pulls the Tier 2 customer count directly from row 12 (=C12).
AgentCare assumes every Tier 2 retainer customer also has active agents under management. To change the number of AgentCare customers, update the Tier 2 customer count in row 12.</t>
        </r>
      </text>
    </comment>
    <comment ref="D21" authorId="0" shapeId="0" xr:uid="{00000000-0006-0000-0100-000002000000}">
      <text>
        <r>
          <rPr>
            <sz val="11"/>
            <color theme="1"/>
            <rFont val="Calibri"/>
            <family val="2"/>
            <charset val="1"/>
          </rPr>
          <t>USER INPUT — adjust to your practice.
Agents per customer — adjust to match your typical Tier 2 deployment. CPB default: 3 agents.</t>
        </r>
      </text>
    </comment>
    <comment ref="E21" authorId="0" shapeId="0" xr:uid="{00000000-0006-0000-0100-000003000000}">
      <text>
        <r>
          <rPr>
            <sz val="11"/>
            <color theme="1"/>
            <rFont val="Calibri"/>
            <family val="2"/>
            <charset val="1"/>
          </rPr>
          <t>USER INPUT — adjust to your practice.
$/agent/month — Tier 2 AgentCare rate. CPB default: $350. Adjust to your market pricing.</t>
        </r>
      </text>
    </comment>
    <comment ref="I21" authorId="0" shapeId="0" xr:uid="{00000000-0006-0000-0100-000004000000}">
      <text>
        <r>
          <rPr>
            <sz val="11"/>
            <color theme="1"/>
            <rFont val="Calibri"/>
            <family val="2"/>
            <charset val="1"/>
          </rPr>
          <t>MODEL CONSTANT — change only if your cost structure differs.
AgentCare Tier 2 gross margin — 55% model constant. Based on CPB services cost structure.</t>
        </r>
      </text>
    </comment>
    <comment ref="C22" authorId="0" shapeId="0" xr:uid="{00000000-0006-0000-0100-000005000000}">
      <text>
        <r>
          <rPr>
            <sz val="11"/>
            <color theme="1"/>
            <rFont val="Calibri"/>
            <family val="2"/>
            <charset val="1"/>
          </rPr>
          <t>AUTO-POPULATED — do not edit.
This cell pulls the Tier 3 customer count directly from row 17 (=C17).
AgentCare assumes every Tier 3 retainer customer also has active agents under management. To change the number of AgentCare customers, update the Tier 3 customer count in row 17.</t>
        </r>
      </text>
    </comment>
    <comment ref="D22" authorId="0" shapeId="0" xr:uid="{00000000-0006-0000-0100-000006000000}">
      <text>
        <r>
          <rPr>
            <sz val="11"/>
            <color theme="1"/>
            <rFont val="Calibri"/>
            <family val="2"/>
            <charset val="1"/>
          </rPr>
          <t>USER INPUT — adjust to your practice.
Agents per customer — adjust to match your typical Tier 3 deployment. CPB default: 6 agents.</t>
        </r>
      </text>
    </comment>
    <comment ref="E22" authorId="0" shapeId="0" xr:uid="{00000000-0006-0000-0100-000007000000}">
      <text>
        <r>
          <rPr>
            <sz val="11"/>
            <color theme="1"/>
            <rFont val="Calibri"/>
            <family val="2"/>
            <charset val="1"/>
          </rPr>
          <t>USER INPUT — adjust to your practice.
$/agent/month — Tier 3 AgentCare rate. CPB default: $400. Adjust to your market pricing.</t>
        </r>
      </text>
    </comment>
    <comment ref="I22" authorId="0" shapeId="0" xr:uid="{00000000-0006-0000-0100-000008000000}">
      <text>
        <r>
          <rPr>
            <sz val="11"/>
            <color theme="1"/>
            <rFont val="Calibri"/>
            <family val="2"/>
            <charset val="1"/>
          </rPr>
          <t>MODEL CONSTANT — change only if your cost structure differs.
AgentCare Tier 3 gross margin — 55% model constant. Based on CPB services cost structure.</t>
        </r>
      </text>
    </comment>
    <comment ref="E25" authorId="0" shapeId="0" xr:uid="{00000000-0006-0000-0100-000009000000}">
      <text>
        <r>
          <rPr>
            <sz val="11"/>
            <color theme="1"/>
            <rFont val="Calibri"/>
            <family val="2"/>
            <charset val="1"/>
          </rPr>
          <t>USER INPUT — adjust to your practice.
$/user/month — Agent 365 overlay rate. Microsoft list price is $10/user/mo. Adjust if discounting.</t>
        </r>
      </text>
    </comment>
    <comment ref="I25" authorId="0" shapeId="0" xr:uid="{00000000-0006-0000-0100-00000A000000}">
      <text>
        <r>
          <rPr>
            <sz val="11"/>
            <color theme="1"/>
            <rFont val="Calibri"/>
            <family val="2"/>
            <charset val="1"/>
          </rPr>
          <t>MODEL CONSTANT — change only if your cost structure differs.
Agent 365 overlay gross margin — 50% model constant. Based on Microsoft licensing pass-through cost.</t>
        </r>
      </text>
    </comment>
    <comment ref="D28" authorId="0" shapeId="0" xr:uid="{00000000-0006-0000-0100-00000B000000}">
      <text>
        <r>
          <rPr>
            <sz val="11"/>
            <color theme="1"/>
            <rFont val="Calibri"/>
            <family val="2"/>
            <charset val="1"/>
          </rPr>
          <t>USER INPUT — adjust to your practice.
Azure consumption $/customer/month — Tier 2 estimate. Replace with your actual customer Azure spend.</t>
        </r>
      </text>
    </comment>
    <comment ref="E28" authorId="0" shapeId="0" xr:uid="{00000000-0006-0000-0100-00000C000000}">
      <text>
        <r>
          <rPr>
            <sz val="11"/>
            <color theme="1"/>
            <rFont val="Calibri"/>
            <family val="2"/>
            <charset val="1"/>
          </rPr>
          <t>MODEL CONSTANT — change only if your cost structure differs.
Credit Wrap markup % — 30% is the CPB model default. Adjust only if your Azure margin differs.</t>
        </r>
      </text>
    </comment>
    <comment ref="I28" authorId="0" shapeId="0" xr:uid="{00000000-0006-0000-0100-00000D000000}">
      <text>
        <r>
          <rPr>
            <sz val="11"/>
            <color theme="1"/>
            <rFont val="Calibri"/>
            <family val="2"/>
            <charset val="1"/>
          </rPr>
          <t>MODEL CONSTANT — change only if your cost structure differs.
Credit Wrap gross margin — 85% model constant. Reflects pure markup revenue with minimal delivery cost.</t>
        </r>
      </text>
    </comment>
    <comment ref="D29" authorId="0" shapeId="0" xr:uid="{00000000-0006-0000-0100-00000E000000}">
      <text>
        <r>
          <rPr>
            <sz val="11"/>
            <color theme="1"/>
            <rFont val="Calibri"/>
            <family val="2"/>
            <charset val="1"/>
          </rPr>
          <t>USER INPUT — adjust to your practice.
Azure consumption $/customer/month — Tier 3 estimate. Replace with your actual customer Azure spend.</t>
        </r>
      </text>
    </comment>
    <comment ref="E29" authorId="0" shapeId="0" xr:uid="{00000000-0006-0000-0100-00000F000000}">
      <text>
        <r>
          <rPr>
            <sz val="11"/>
            <color theme="1"/>
            <rFont val="Calibri"/>
            <family val="2"/>
            <charset val="1"/>
          </rPr>
          <t>MODEL CONSTANT — change only if your cost structure differs.
Credit Wrap markup % — 30% is the CPB model default. Adjust only if your Azure margin differs.</t>
        </r>
      </text>
    </comment>
    <comment ref="I29" authorId="0" shapeId="0" xr:uid="{00000000-0006-0000-0100-000010000000}">
      <text>
        <r>
          <rPr>
            <sz val="11"/>
            <color theme="1"/>
            <rFont val="Calibri"/>
            <family val="2"/>
            <charset val="1"/>
          </rPr>
          <t>MODEL CONSTANT — change only if your cost structure differs.
Credit Wrap gross margin — 85% model constant. Reflects pure markup revenue with minimal delivery cost.</t>
        </r>
      </text>
    </comment>
    <comment ref="C35" authorId="0" shapeId="0" xr:uid="{00000000-0006-0000-0100-000011000000}">
      <text>
        <r>
          <rPr>
            <sz val="11"/>
            <color theme="1"/>
            <rFont val="Calibri"/>
            <family val="2"/>
            <charset val="1"/>
          </rPr>
          <t>USER INPUT — adjust to your practice.
Number of complex agent builds per year. Adjust to your pipeline. CPB base case: 3.</t>
        </r>
      </text>
    </comment>
    <comment ref="D35" authorId="0" shapeId="0" xr:uid="{00000000-0006-0000-0100-000012000000}">
      <text>
        <r>
          <rPr>
            <sz val="11"/>
            <color theme="1"/>
            <rFont val="Calibri"/>
            <family val="2"/>
            <charset val="1"/>
          </rPr>
          <t>USER INPUT — adjust to your practice.
Average fee per complex agent build. CPB range: $12,000–$28,000. Adjust to your market.</t>
        </r>
      </text>
    </comment>
    <comment ref="H35" authorId="0" shapeId="0" xr:uid="{00000000-0006-0000-0100-000013000000}">
      <text>
        <r>
          <rPr>
            <sz val="11"/>
            <color theme="1"/>
            <rFont val="Calibri"/>
            <family val="2"/>
            <charset val="1"/>
          </rPr>
          <t>MODEL CONSTANT — change only if your cost structure differs.
Complex agent build gross margin — 28% model constant. Reflects higher T&amp;M labor cost ratio.</t>
        </r>
      </text>
    </comment>
    <comment ref="C36" authorId="0" shapeId="0" xr:uid="{00000000-0006-0000-0100-000014000000}">
      <text>
        <r>
          <rPr>
            <sz val="11"/>
            <color theme="1"/>
            <rFont val="Calibri"/>
            <family val="2"/>
            <charset val="1"/>
          </rPr>
          <t>USER INPUT — adjust to your practice.
Number of MCI reimbursements expected. Requires Microsoft qualifying criteria. CPB base case: 1 per year.</t>
        </r>
      </text>
    </comment>
    <comment ref="D36" authorId="0" shapeId="0" xr:uid="{00000000-0006-0000-0100-000015000000}">
      <text>
        <r>
          <rPr>
            <sz val="11"/>
            <color theme="1"/>
            <rFont val="Calibri"/>
            <family val="2"/>
            <charset val="1"/>
          </rPr>
          <t>USER INPUT — adjust to your practice.
Estimated MCI reimbursement amount. Conservative estimate — confirm with your TD SYNNEX cloud specialist.</t>
        </r>
      </text>
    </comment>
    <comment ref="H36" authorId="0" shapeId="0" xr:uid="{00000000-0006-0000-0100-000016000000}">
      <text>
        <r>
          <rPr>
            <sz val="11"/>
            <color theme="1"/>
            <rFont val="Calibri"/>
            <family val="2"/>
            <charset val="1"/>
          </rPr>
          <t>MODEL CONSTANT — change only if your cost structure differs.
MCI gross margin — 100% by definition. MCI is a reimbursement with no associated COGS.</t>
        </r>
      </text>
    </comment>
  </commentList>
</comments>
</file>

<file path=xl/sharedStrings.xml><?xml version="1.0" encoding="utf-8"?>
<sst xmlns="http://schemas.openxmlformats.org/spreadsheetml/2006/main" count="1341" uniqueCount="815">
  <si>
    <t xml:space="preserve">  TD SYNNEX  ·  Copilot Practice Builder  ·  Partner Workshop Tool</t>
  </si>
  <si>
    <t xml:space="preserve">  TAB 7  ·  TIER 1 SERVICE MENU + OUTCOME SPRINT TEMPLATES  —  Reference during scoping. Prices are inputs — adjust to your market.</t>
  </si>
  <si>
    <t xml:space="preserve">  ① TIER 1 SERVICE MENU — AI ESSENTIALS  ($10–$15/user/month flat)  ·  Four delivery themes</t>
  </si>
  <si>
    <t>Theme</t>
  </si>
  <si>
    <t>Service Item</t>
  </si>
  <si>
    <t>Scope / Deliverable</t>
  </si>
  <si>
    <t>Typical Duration</t>
  </si>
  <si>
    <t>Pricing Guidance (per engagement)</t>
  </si>
  <si>
    <t xml:space="preserve">  ENABLEMENT</t>
  </si>
  <si>
    <t>Enablement</t>
  </si>
  <si>
    <t>Copilot Onboarding &amp; Setup</t>
  </si>
  <si>
    <t>Tenant readiness check, Copilot license assignment, initial prompt library (10–15 prompts tailored to customer role)</t>
  </si>
  <si>
    <t>1–2 weeks</t>
  </si>
  <si>
    <t>$1,500–$2,500 flat</t>
  </si>
  <si>
    <t>Role-Based Training Workshop</t>
  </si>
  <si>
    <t>2-hour live session per department (up to 4 roles). Hands-on prompting, use-case demonstration.</t>
  </si>
  <si>
    <t>1 day delivery</t>
  </si>
  <si>
    <t>$800–$1,200/session</t>
  </si>
  <si>
    <t>Copilot Champions Program Setup</t>
  </si>
  <si>
    <t>Identify and train 2–3 internal champions. Provide champion toolkit and escalation path.</t>
  </si>
  <si>
    <t>2 weeks</t>
  </si>
  <si>
    <t>$1,200–$2,000 flat</t>
  </si>
  <si>
    <t>Prompt Library Development</t>
  </si>
  <si>
    <t>Build 25–50 role-specific prompts. Deliver as SharePoint page + PDF reference card.</t>
  </si>
  <si>
    <t>$1,500–$3,000 flat</t>
  </si>
  <si>
    <t xml:space="preserve">  GOVERNANCE</t>
  </si>
  <si>
    <t>Governance</t>
  </si>
  <si>
    <t>AI Usage Policy Development</t>
  </si>
  <si>
    <t>Draft Acceptable Use Policy for AI tools. Covers data handling, IP, and sharing restrictions. Legal review recommended by customer.</t>
  </si>
  <si>
    <t>$2,000–$3,500 flat</t>
  </si>
  <si>
    <t>Oversharing Remediation Audit</t>
  </si>
  <si>
    <t>Scan SharePoint/OneDrive permissions. Identify and remediate broad-access files before Copilot access is granted.</t>
  </si>
  <si>
    <t>Sensitivity Label Configuration</t>
  </si>
  <si>
    <t>Configure Microsoft Purview sensitivity labels. Apply default labels to key document libraries.</t>
  </si>
  <si>
    <t>1 week</t>
  </si>
  <si>
    <t>$1,200–$2,500 flat</t>
  </si>
  <si>
    <t>Monthly Compliance Review</t>
  </si>
  <si>
    <t>Review AI audit logs, flag anomalies, produce 1-page executive summary. Delivered monthly as part of retainer.</t>
  </si>
  <si>
    <t>Monthly / ongoing</t>
  </si>
  <si>
    <t>Included in retainer (Tier 1)</t>
  </si>
  <si>
    <t xml:space="preserve">  ADOPTION</t>
  </si>
  <si>
    <t>Adoption</t>
  </si>
  <si>
    <t>Monthly Business Review (MBR)</t>
  </si>
  <si>
    <t>Usage analytics review, top 5 user insights, next-30-day recommendations. Delivered via 45-min call + 1-page report.</t>
  </si>
  <si>
    <t>Copilot Usage Analytics Dashboard</t>
  </si>
  <si>
    <t>Build Power BI or Viva Insights dashboard tracking active users, prompt usage, and sentiment. Delivered at Month 2.</t>
  </si>
  <si>
    <t>2–3 weeks</t>
  </si>
  <si>
    <t>$2,500–$4,000 flat</t>
  </si>
  <si>
    <t>Low-Adoption Intervention Sprint</t>
  </si>
  <si>
    <t>30-day targeted program for departments below 30% active-user threshold. Includes re-training and executive communication.</t>
  </si>
  <si>
    <t>30 days</t>
  </si>
  <si>
    <t>Copilot ROI Report (Annual)</t>
  </si>
  <si>
    <t>Quantified productivity, time savings, and satisfaction data. Formatted for board/investor presentation. Uses baseline from Gate 1.</t>
  </si>
  <si>
    <t xml:space="preserve">  DISCOVERY</t>
  </si>
  <si>
    <t>Discovery</t>
  </si>
  <si>
    <t>Copilot Readiness Assessment</t>
  </si>
  <si>
    <t>Technical and organizational readiness review. Output: scored assessment, readiness scorecard, recommended path forward.</t>
  </si>
  <si>
    <t>$3,000–$5,000 flat (see Tab 2)</t>
  </si>
  <si>
    <t>Agent Discovery Workshop</t>
  </si>
  <si>
    <t>½-day structured session to identify automation candidates. Output: prioritized list of 3–5 agent build candidates with ROI estimates.</t>
  </si>
  <si>
    <t>½ day + 1 week writeup</t>
  </si>
  <si>
    <t>$3,500–$6,000 flat (see Tab 2)</t>
  </si>
  <si>
    <t>Workflow Mapping &amp; Process Inventory</t>
  </si>
  <si>
    <t>Document 10–15 key workflows. Tag each for AI applicability, data sensitivity, and agent build potential.</t>
  </si>
  <si>
    <t>$2,500–$4,500 flat</t>
  </si>
  <si>
    <t>AI Strategy Roadmap (12-Month)</t>
  </si>
  <si>
    <t>Executive-ready roadmap covering Tier progression path, agent build sequence, and investment milestones.</t>
  </si>
  <si>
    <t>$4,000–$7,500 flat</t>
  </si>
  <si>
    <t xml:space="preserve">  ② OUTCOME SPRINT TEMPLATES  —  Three sprint shapes. All require the four AI/LLM non-negotiables (Tab 6).</t>
  </si>
  <si>
    <t>Field</t>
  </si>
  <si>
    <t>Activation Sprint (Tier 1)</t>
  </si>
  <si>
    <t>Workflow Sprint (Tier 2)</t>
  </si>
  <si>
    <t>QBIC (Tier 3)</t>
  </si>
  <si>
    <t>Your Notes / Customization</t>
  </si>
  <si>
    <t>Fee structure</t>
  </si>
  <si>
    <t>Duration</t>
  </si>
  <si>
    <t>60–90 days</t>
  </si>
  <si>
    <t>60-day window per agent</t>
  </si>
  <si>
    <t>Quarterly (rolling)</t>
  </si>
  <si>
    <t>Primary KPI</t>
  </si>
  <si>
    <t>Active-user % of licensed seats</t>
  </si>
  <si>
    <t>Cycle time or deflection %</t>
  </si>
  <si>
    <t>One board-level number per quarter</t>
  </si>
  <si>
    <t>Counter-metric</t>
  </si>
  <si>
    <t>Oversharing remediation %</t>
  </si>
  <si>
    <t>Error rate (must not increase)</t>
  </si>
  <si>
    <t>Employee NPS or qualitative signal</t>
  </si>
  <si>
    <t>Baseline capture</t>
  </si>
  <si>
    <t>Day 0 — before any Copilot access</t>
  </si>
  <si>
    <t>Process baseline before agent deploy</t>
  </si>
  <si>
    <t>Q-1 actuals from customer ERP/CRM</t>
  </si>
  <si>
    <t>Counterfactual</t>
  </si>
  <si>
    <t>Non-Copilot dept or prior 90 days</t>
  </si>
  <si>
    <t>Control queue / historical period</t>
  </si>
  <si>
    <t>Prior quarter + seasonal adj.</t>
  </si>
  <si>
    <t>Kicker floor (10%)</t>
  </si>
  <si>
    <t>Kicker ceiling (25%)</t>
  </si>
  <si>
    <t>Gate checkpoints</t>
  </si>
  <si>
    <t>Gates 1–3 (activation focus)</t>
  </si>
  <si>
    <t>Gates 2–4 (workflow automation)</t>
  </si>
  <si>
    <t>Gates 4–5 (impact validation)</t>
  </si>
  <si>
    <t>Executive sponsor req.</t>
  </si>
  <si>
    <t>Required — signs kicker clause</t>
  </si>
  <si>
    <t>Required — board-level sign-off</t>
  </si>
  <si>
    <t>TD SYNNEX support</t>
  </si>
  <si>
    <t>ServiceSolv L1/L2 co-delivery ok</t>
  </si>
  <si>
    <t>ServiceSolv + AI Coach</t>
  </si>
  <si>
    <t>Dedicated AI Coach + Data Eng</t>
  </si>
  <si>
    <t>⚑  Fee cells (row 34) use the midpoint of each range for kicker calculation purposes. Adjust to your actual quoted fee before presenting to the customer.</t>
  </si>
  <si>
    <t>⚑  All sprint shapes require completion of Tab 6 Non-Negotiables checklist before SOW signature. Kicker is validated at Gate 5 — not self-reported.</t>
  </si>
  <si>
    <t>⚑  QBIC = Quarterly Business Impact Commitment. The one board-level KPI must be agreed in writing at Gate 1 and cannot be changed mid-quarter.</t>
  </si>
  <si>
    <t xml:space="preserve">  TAB 1 OF 9  ·  YOUR BUSINESS TODAY  —  Yellow cells accept your inputs. All other cells calculate automatically.</t>
  </si>
  <si>
    <t>INPUT KEY:</t>
  </si>
  <si>
    <t xml:space="preserve">  Your input  </t>
  </si>
  <si>
    <t xml:space="preserve">  Calculated  </t>
  </si>
  <si>
    <t xml:space="preserve">  ▶  Cross-sheet reference (green)</t>
  </si>
  <si>
    <t xml:space="preserve">  CUSTOMER BASE</t>
  </si>
  <si>
    <t xml:space="preserve">  YOUR CURRENT P&amp;L  (live — updates as you type)</t>
  </si>
  <si>
    <t>Active customers</t>
  </si>
  <si>
    <t>customers</t>
  </si>
  <si>
    <t xml:space="preserve">  REVENUE</t>
  </si>
  <si>
    <t>% of Rev</t>
  </si>
  <si>
    <t>Average M365 seats per customer</t>
  </si>
  <si>
    <t>seats / customer</t>
  </si>
  <si>
    <t>M365 License</t>
  </si>
  <si>
    <t>Total managed seats</t>
  </si>
  <si>
    <t>seats  (auto-calculated)</t>
  </si>
  <si>
    <t>Modern Work Svcs</t>
  </si>
  <si>
    <t>M365 price charged to customers</t>
  </si>
  <si>
    <t>$/seat/month  ←  what you bill the customer (drives revenue in row 14)</t>
  </si>
  <si>
    <t>Azure</t>
  </si>
  <si>
    <t>Copilot / AI</t>
  </si>
  <si>
    <t xml:space="preserve">  ANNUAL REVENUE BY STREAM</t>
  </si>
  <si>
    <t xml:space="preserve">  TOTAL REVENUE</t>
  </si>
  <si>
    <t>100%</t>
  </si>
  <si>
    <t>M365 License resale</t>
  </si>
  <si>
    <t>auto-calculated from seats above</t>
  </si>
  <si>
    <t>Modern Work services</t>
  </si>
  <si>
    <t>$/year</t>
  </si>
  <si>
    <t xml:space="preserve">  COST OF GOODS SOLD  (ex-labor)</t>
  </si>
  <si>
    <t>Azure billed to customers (annual)</t>
  </si>
  <si>
    <t>$/year total  ←  what customers pay you for Azure (cost handled in row 44)</t>
  </si>
  <si>
    <t>Direct COGS (tools + license cost + Azure cost)</t>
  </si>
  <si>
    <t>Copilot / AI (current, if any)</t>
  </si>
  <si>
    <t>$/year — current per-user Copilot only; Tab 2 designs the stacked practice</t>
  </si>
  <si>
    <t xml:space="preserve">  GROSS PROFIT</t>
  </si>
  <si>
    <t>← total annual revenue</t>
  </si>
  <si>
    <t xml:space="preserve">  SG&amp;A  (all labor + overhead)</t>
  </si>
  <si>
    <t xml:space="preserve">  HEADCOUNT &amp; COMPENSATION  (base salary × 1.32 burden = fully-loaded cost)</t>
  </si>
  <si>
    <t>Labor (fully loaded)</t>
  </si>
  <si>
    <t>Role</t>
  </si>
  <si>
    <t>Headcount</t>
  </si>
  <si>
    <t>Base Salary (avg)</t>
  </si>
  <si>
    <t>Overhead</t>
  </si>
  <si>
    <t>Technical L1 / L2</t>
  </si>
  <si>
    <t xml:space="preserve">  TOTAL SG&amp;A</t>
  </si>
  <si>
    <t>Technical L3</t>
  </si>
  <si>
    <t>AI / Cloud Specialist  ← enter 1 here to model the hire</t>
  </si>
  <si>
    <t>Senior Engineer / vCIO</t>
  </si>
  <si>
    <t>EBITDA</t>
  </si>
  <si>
    <t>Account Executive (quota)</t>
  </si>
  <si>
    <t>Managing Partner (draw)</t>
  </si>
  <si>
    <t xml:space="preserve">  KEY METRICS vs INDUSTRY BENCHMARKS</t>
  </si>
  <si>
    <t>Operations / Admin</t>
  </si>
  <si>
    <t>← add a 2nd PT row below if modeling 9 FTE-equivalent (playbook uses 7 FT + 1 PT + 1 subcontractor)</t>
  </si>
  <si>
    <t>Revenue per employee</t>
  </si>
  <si>
    <t>Benchmark: $265K [Worklyn Partners] ← playbook uses 9 FTE-equiv (7 FT + PT/contractors). At 7 FT your RPE of ~$340K exceeds the benchmark — both are correct depending on how you count.</t>
  </si>
  <si>
    <t xml:space="preserve">  TOTAL HEADCOUNT</t>
  </si>
  <si>
    <t>employees</t>
  </si>
  <si>
    <t>Revenue per tech staff</t>
  </si>
  <si>
    <t>Benchmark: $300K+  [SLI top quartile]</t>
  </si>
  <si>
    <t xml:space="preserve">  TOTAL LABOR COST (fully loaded)</t>
  </si>
  <si>
    <t>base × headcount × 1.32 burden</t>
  </si>
  <si>
    <t>Gross margin</t>
  </si>
  <si>
    <t>Benchmark: 46.2%  [Service Leadership Index Q4 2024]</t>
  </si>
  <si>
    <t>EBITDA margin</t>
  </si>
  <si>
    <t>Benchmark: 11.1%  [Service Leadership Index Q4 2024]</t>
  </si>
  <si>
    <t xml:space="preserve">  OVERHEAD EXPENSES (annual)</t>
  </si>
  <si>
    <t>Services % of revenue</t>
  </si>
  <si>
    <t>Benchmark: 65–70%  [IDC Partner Ecosystem Study]</t>
  </si>
  <si>
    <t>Tools / RMM / PSA / software</t>
  </si>
  <si>
    <t>ConnectWise/Datto: $720–960/customer/yr for full toolstack</t>
  </si>
  <si>
    <t>License % of revenue</t>
  </si>
  <si>
    <t>Benchmark: 24–30%  [CPB hero partner model]</t>
  </si>
  <si>
    <t>Marketing &amp; demand generation</t>
  </si>
  <si>
    <t>Demand gen, partner portal, content — ~1.5% of revenue</t>
  </si>
  <si>
    <t>Training &amp; certifications</t>
  </si>
  <si>
    <t>Microsoft certs ($165–$330 ea.) + partner training events</t>
  </si>
  <si>
    <t>Revenue Mix</t>
  </si>
  <si>
    <t>Insurance / legal / misc</t>
  </si>
  <si>
    <t>E&amp;O / cyber liability / legal retainer — ask your broker</t>
  </si>
  <si>
    <t>License</t>
  </si>
  <si>
    <t>Office / facilities  (hybrid model)</t>
  </si>
  <si>
    <t>~1,200 sq ft × $28–35/sq ft/yr  |  Source: CoStar SMB avg</t>
  </si>
  <si>
    <t>MW Services</t>
  </si>
  <si>
    <t>Travel, events &amp; engineer mileage</t>
  </si>
  <si>
    <t>Eng mileage + 2 conferences (Inspire, IT Nation) + sales T&amp;E</t>
  </si>
  <si>
    <t xml:space="preserve">  TOTAL OVERHEAD</t>
  </si>
  <si>
    <t>Copilot/AI</t>
  </si>
  <si>
    <t xml:space="preserve">  COGS ASSUMPTIONS  —  Revenue rows (11, 16) = what you CHARGE customers.  Margin rows (42, 44) = what you KEEP.  COGS = Revenue × (1 – Margin %).</t>
  </si>
  <si>
    <t>M365 CSP Gross Margin %  ← your TD SYNNEX margin</t>
  </si>
  <si>
    <t>COGS = License Revenue (row 14) × (1 – this %)  |  Base CSP: 5–7%  |  With incentives: up to 12%</t>
  </si>
  <si>
    <t>Direct tools cost per customer ($/yr)</t>
  </si>
  <si>
    <t>$60–80/endpoint/mo toolstack ÷ 40 users = ~$800/customer/yr</t>
  </si>
  <si>
    <t>Azure Consumption Gross Margin %  ← your TD SYNNEX margin</t>
  </si>
  <si>
    <t>COGS = Azure Revenue (row 16) × (1 – this %)  |  SMB range: 5–15%  |  Excl. project labor</t>
  </si>
  <si>
    <t>Copilot platform cost (% of AI revenue)</t>
  </si>
  <si>
    <t>M365 Copilot license cost + Copilot Studio tokens/compute — applies to current AI revenue only; Copilot practice margins are modeled separately on Tab 2</t>
  </si>
  <si>
    <t>Subcontractor / overflow labor ($/yr)</t>
  </si>
  <si>
    <t>~400 hrs × $100/hr avg  |  ServiceSolv, Pax8 Pro, contractors</t>
  </si>
  <si>
    <t xml:space="preserve">  MARGIN BY STREAM  (calculated from inputs above)</t>
  </si>
  <si>
    <t>Revenue Stream</t>
  </si>
  <si>
    <t>Revenue</t>
  </si>
  <si>
    <t>Gross Profit  (margin %)</t>
  </si>
  <si>
    <t>Azure consumption</t>
  </si>
  <si>
    <t>see SG&amp;A model  (~40–50%)</t>
  </si>
  <si>
    <t>Copilot / AI practice</t>
  </si>
  <si>
    <t>⚑  Licenses = thin margins (6%). Services &amp; Copilot = the EBITDA. Copilot ARR matters because it's high-margin recurring revenue.</t>
  </si>
  <si>
    <t>⚑  Margin convention: Gross margin % = Revenue minus license/Azure/Copilot COGS only. All labor sits in SG&amp;A (CPB model convention). Service Leadership Index calculates 46.2% with tech labor above the line — same EBITDA, different placement. Tier margins in Tab 2 are incremental contribution margins, not fully-allocated P&amp;L margins.</t>
  </si>
  <si>
    <t xml:space="preserve">  TAB 2 OF 9  ·  DESIGN YOUR COPILOT PRACTICE  —  Enter your target customer counts and pricing. Practice P&amp;L builds automatically.</t>
  </si>
  <si>
    <t xml:space="preserve">  TIER 1 — AI ESSENTIALS  ·  $10–$15/user/month flat  ·  Copilot activation, adoption tracking, monthly business reviews</t>
  </si>
  <si>
    <t>Description</t>
  </si>
  <si>
    <t>Customers</t>
  </si>
  <si>
    <t>Users/Cust</t>
  </si>
  <si>
    <t>$/user/mo</t>
  </si>
  <si>
    <t>Monthly MRR</t>
  </si>
  <si>
    <t>Annual ARR</t>
  </si>
  <si>
    <t>Gross Margin</t>
  </si>
  <si>
    <t>Gross Profit</t>
  </si>
  <si>
    <t>Tier 1 retainer customers</t>
  </si>
  <si>
    <t>× 12</t>
  </si>
  <si>
    <t xml:space="preserve">     Delivery model: ~$314/mo per 50-user customer  ·  L1: 2.5 hrs @$43/hr + L2: 1.0 hr @$56/hr + $150 tooling  ·  ~48% gross margin</t>
  </si>
  <si>
    <t xml:space="preserve">  TIER 2 — AI OPERATIONS  ·  Default stacked ≈ $1,725/mo per 50-user customer  ·  Flat alternative $20–$25/user/mo  ·  Agent deployment, workflow automation, AI ROI reporting</t>
  </si>
  <si>
    <t>Tier 2 retainer customers</t>
  </si>
  <si>
    <t xml:space="preserve">     Stacked delivery: ~$950/mo per 50-user customer  ·  L2 + L3 + AgentCare shared ops + Credit Wrap overhead  ·  ~45% gross margin when AgentCare and Credit Wrap inputs are filled in rows 19–22 below</t>
  </si>
  <si>
    <t xml:space="preserve">  TIER 3 — AI TRANSFORMATION  ·  Default stacked ≈ $4,425/mo per 75-user customer  ·  Flat alternative $45–$55/user/mo  ·  Full managed AgentOps, dedicated AI strategy reviews</t>
  </si>
  <si>
    <t>Tier 3 retainer customers</t>
  </si>
  <si>
    <t xml:space="preserve">     Stacked delivery: ~$2,600/mo per 75-user customer  ·  AI Spec + Sr Eng + AgentCare runbooks + Agent 365 overlay + Credit Wrap  ·  ~41% gross margin when stacked inputs are filled below</t>
  </si>
  <si>
    <t xml:space="preserve">  AGENTCARE — per-agent monthly retainer (stacks on Tier 2/3 per-user base)</t>
  </si>
  <si>
    <t>Agents/Cust</t>
  </si>
  <si>
    <t>$/agent/mo</t>
  </si>
  <si>
    <t>↑ T2</t>
  </si>
  <si>
    <t>Tier 2 AgentCare add-on</t>
  </si>
  <si>
    <t>↑ T3</t>
  </si>
  <si>
    <t>Tier 3 AgentCare add-on</t>
  </si>
  <si>
    <t xml:space="preserve">  AGENT 365 OVERLAY — Tier 3 only ($10/user/mo flat on top of stack)</t>
  </si>
  <si>
    <t>Tier 3 Agent 365 overlay</t>
  </si>
  <si>
    <t xml:space="preserve">  CREDIT WRAP — Azure consumption markup (stacks on Tier 2/3)</t>
  </si>
  <si>
    <t>Azure $/cust/mo</t>
  </si>
  <si>
    <t>Markup %</t>
  </si>
  <si>
    <t>Tier 2 Credit Wrap</t>
  </si>
  <si>
    <t>Tier 3 Credit Wrap</t>
  </si>
  <si>
    <t xml:space="preserve">  PROJECT &amp; ASSESSMENT REVENUE  (one-time, per-engagement)</t>
  </si>
  <si>
    <t>Engagement Type</t>
  </si>
  <si>
    <t>Count/Year</t>
  </si>
  <si>
    <t>Avg Fee</t>
  </si>
  <si>
    <t>Annual Revenue</t>
  </si>
  <si>
    <t>Copilot readiness assessments</t>
  </si>
  <si>
    <t>Agent discovery workshops</t>
  </si>
  <si>
    <t>Agent builds (simple / fixed)</t>
  </si>
  <si>
    <t>Agent builds (complex / T&amp;M)</t>
  </si>
  <si>
    <t>MCI reimbursements (estimate — requires Microsoft qualifying criteria; model conservatively)</t>
  </si>
  <si>
    <t xml:space="preserve">  COPILOT PRACTICE TOTALS</t>
  </si>
  <si>
    <t>Recurring retainer revenue (ARR)</t>
  </si>
  <si>
    <t>Project &amp; assessment revenue</t>
  </si>
  <si>
    <t xml:space="preserve">  TOTAL COPILOT PRACTICE REVENUE</t>
  </si>
  <si>
    <t xml:space="preserve">  THE AI SPECIALIST HIRE DECISION  —  Model the ROI before committing</t>
  </si>
  <si>
    <t>The AI Specialist hire enables a real Tier 2 and Tier 3 practice. Enter Tab 1 → row 24 headcount = 1 to activate. The analysis below shows the return.</t>
  </si>
  <si>
    <t>AI Specialist base salary (Tab 1, row 24)</t>
  </si>
  <si>
    <t>Fully-loaded cost (base × 1.32)</t>
  </si>
  <si>
    <t>Copilot practice ARR this hire enables</t>
  </si>
  <si>
    <t>Net first-year revenue over hire cost</t>
  </si>
  <si>
    <t>Payback period — based on T2/T3 retainers + agent builds the specialist enables (months)</t>
  </si>
  <si>
    <t>ARR Breakdown</t>
  </si>
  <si>
    <t>(by type)</t>
  </si>
  <si>
    <t>Revenue Type</t>
  </si>
  <si>
    <t>T2 Retainers</t>
  </si>
  <si>
    <t>T3 Retainers</t>
  </si>
  <si>
    <t>Projects</t>
  </si>
  <si>
    <t>AgentCare</t>
  </si>
  <si>
    <t>Credit Wrap + A365</t>
  </si>
  <si>
    <t xml:space="preserve">  ② PRACTICE HEALTH CHECK</t>
  </si>
  <si>
    <t xml:space="preserve">  TAB 3 OF 9  ·  BEFORE vs AFTER  —  Your numbers. Your gap. The financial case for building a Copilot practice.</t>
  </si>
  <si>
    <t>P&amp;L LINE ITEM</t>
  </si>
  <si>
    <t>TODAY</t>
  </si>
  <si>
    <t>% Rev</t>
  </si>
  <si>
    <t>WITH COPILOT PRACTICE</t>
  </si>
  <si>
    <t>DELTA</t>
  </si>
  <si>
    <t>NOTES</t>
  </si>
  <si>
    <t>Unchanged — same seat base</t>
  </si>
  <si>
    <t>Modern Work Services</t>
  </si>
  <si>
    <t>+3% — Tier 2 managed services upsell on existing customers</t>
  </si>
  <si>
    <t>+5% — Copilot customers deepen Azure footprint</t>
  </si>
  <si>
    <t>Copilot / AI Practice</t>
  </si>
  <si>
    <t>Total Copilot practice ARR (retainer + projects) from Tab 2 — H41</t>
  </si>
  <si>
    <t xml:space="preserve">  COST OF GOODS SOLD</t>
  </si>
  <si>
    <t>Direct COGS (ex-labor)</t>
  </si>
  <si>
    <t>+8% — Copilot platform + ServiceSolv. Services delivery cost appears in SG&amp;A (labor), not COGS.</t>
  </si>
  <si>
    <t xml:space="preserve">  SG&amp;A</t>
  </si>
  <si>
    <t>Includes AI Specialist fully-loaded cost if hired (Tab 1, row 24)</t>
  </si>
  <si>
    <t>Unchanged</t>
  </si>
  <si>
    <t xml:space="preserve">  EBITDA</t>
  </si>
  <si>
    <t>WITH COPILOT</t>
  </si>
  <si>
    <t>IMPROVEMENT</t>
  </si>
  <si>
    <t>Metric</t>
  </si>
  <si>
    <t>Today</t>
  </si>
  <si>
    <t>With Copilot</t>
  </si>
  <si>
    <t>Benchmark</t>
  </si>
  <si>
    <t>Source</t>
  </si>
  <si>
    <t>$265K</t>
  </si>
  <si>
    <t>Worklyn Partners</t>
  </si>
  <si>
    <t>46.2%</t>
  </si>
  <si>
    <t>Service Leadership Index Q4 2024</t>
  </si>
  <si>
    <t>11.1%</t>
  </si>
  <si>
    <t>Copilot % of rev</t>
  </si>
  <si>
    <t>15-20%</t>
  </si>
  <si>
    <t>CPB Frontier Profile</t>
  </si>
  <si>
    <t>⚑  Tier 2/3 stack AgentCare and Credit Wrap on top of the Tier 1 per-user base. A customer moving from Tier 1 → Tier 2 retains the $12/user base and adds ~3 agents × $350/mo and Credit Wrap. Partners who prefer simpler pricing can use the flat alternative ($20–$25/user Tier 2, $45–$55/user Tier 3) — modeled by setting agents/customer = 0 on Tab 2.</t>
  </si>
  <si>
    <t xml:space="preserve">  3-YEAR REVENUE PROJECTION  (conservative growth assumptions — adjustable)</t>
  </si>
  <si>
    <t>Year 1</t>
  </si>
  <si>
    <t>Year 2</t>
  </si>
  <si>
    <t>Year 3</t>
  </si>
  <si>
    <t>CAGR</t>
  </si>
  <si>
    <t>Growth Assumption</t>
  </si>
  <si>
    <t>8% → 6% → 5%  (seat expansion)</t>
  </si>
  <si>
    <t>5% → 8% → 10%  (managed services upsell)</t>
  </si>
  <si>
    <t>10% → 15% → 15%  (Copilot drives Azure depth)</t>
  </si>
  <si>
    <t>Yr 1 = Tab 2 designed scale (stacked or flat — whichever the partner modeled). Yr 2–3 scale at 35%/40% — drivers are AgentCare agent-per-customer depth and new Tier 2 customer adds, not per-user rate hikes.</t>
  </si>
  <si>
    <t>Year</t>
  </si>
  <si>
    <t xml:space="preserve">  TD SYNNEX  ·  COPILOT PRACTICE BUILDER  ·  PARTNER WORKSHOP SUMMARY</t>
  </si>
  <si>
    <t xml:space="preserve">  EXECUTIVE SUMMARY  —  Print this tab and share with your leadership team. All figures flow from your Tab 1 and Tab 2 inputs.</t>
  </si>
  <si>
    <t xml:space="preserve">  YOUR BUSINESS AT A GLANCE</t>
  </si>
  <si>
    <t>M365 Seats</t>
  </si>
  <si>
    <t>Total Staff</t>
  </si>
  <si>
    <t>Current Revenue</t>
  </si>
  <si>
    <t>Copilot Practice ARR</t>
  </si>
  <si>
    <t xml:space="preserve">  P&amp;L: TODAY vs WITH COPILOT PRACTICE</t>
  </si>
  <si>
    <t>P&amp;L ITEM</t>
  </si>
  <si>
    <t xml:space="preserve">  Total Revenue</t>
  </si>
  <si>
    <t>From Tab 1 + Tab 2 inputs</t>
  </si>
  <si>
    <t xml:space="preserve">  Gross Profit</t>
  </si>
  <si>
    <t>Ex-labor COGS structure</t>
  </si>
  <si>
    <t>SG&amp;A</t>
  </si>
  <si>
    <t>All labor + overhead</t>
  </si>
  <si>
    <t>Operating profit</t>
  </si>
  <si>
    <t xml:space="preserve">  KEY METRICS AT A GLANCE</t>
  </si>
  <si>
    <t>Benchmark: $265K (Worklyn)</t>
  </si>
  <si>
    <t>Benchmark: 11.1% (SLI avg)</t>
  </si>
  <si>
    <t>Benchmark: 46.2% (SLI avg)</t>
  </si>
  <si>
    <t>Copilot % of revenue</t>
  </si>
  <si>
    <t>Benchmark: 15–20% (Frontier)</t>
  </si>
  <si>
    <t xml:space="preserve">  YOUR 90-DAY ACTION PLAN</t>
  </si>
  <si>
    <t>Priority actions to launch your Copilot practice. Sequence with your TD SYNNEX cloud sales specialist.</t>
  </si>
  <si>
    <t>Days 1–30</t>
  </si>
  <si>
    <t>□  Run SharePoint oversharing report (Tab 8 Pre-Gate) for your top 3 customer prospects</t>
  </si>
  <si>
    <t>□  Enroll in TD SYNNEX AI Practice Builder enablement track — and deploy Copilot internally</t>
  </si>
  <si>
    <t>□  Define your Tier 1 retainer package and pricing (use Tab 2) — then name Day 1 Champions for target accounts</t>
  </si>
  <si>
    <t>□  Open Tab 8 (Activation Worklist) and complete the Pre-Gate checklist for your first engagement</t>
  </si>
  <si>
    <t>Days 31–60</t>
  </si>
  <si>
    <t>□  Deliver a Copilot Show &amp; Tell using your own internal deployment as the demo</t>
  </si>
  <si>
    <t>□  Close your first Tier 1 retainer — run Gate 1 and Gate 2 of the Tab 8 Activation Worklist</t>
  </si>
  <si>
    <t>□  Submit MCI reimbursement application through TD SYNNEX</t>
  </si>
  <si>
    <t>□  Begin AI Specialist hire or upskill internal talent (Tab 5 Bear/Base/Bull guides the timing)</t>
  </si>
  <si>
    <t>Days 61–90</t>
  </si>
  <si>
    <t>□  Review Gate 3 of Tab 8 for each active engagement — document agent build candidates</t>
  </si>
  <si>
    <t>□  Scope first agent build project using Tab 9 (Agent Build Worklist) Phase 1 framework ($3,500–$8,000)</t>
  </si>
  <si>
    <t>□  Present this financial model to your leadership team (print Tab 4 Executive Summary)</t>
  </si>
  <si>
    <t>□  Set 12-month Copilot ARR target using Tab 3 Before vs. After — align AE compensation</t>
  </si>
  <si>
    <t>⑤  Run Bear / Base / Bull scenarios on Tab 5 → Scenario Analysis to stress-test projections.  ⑥  Use Tab 6 → Engagement Mechanics for kicker math and RACI before any outcome-based engagement.  ⑦  Reference Tab 7 → Sprint Templates when scoping Activation, Workflow, or QBIC sprints.  ⑧⑨  Use Tabs 8 and 9 (Activation Worklist + Agent Build Worklist) as live project trackers during every engagement.  📄  Read the CPB Engagement Ops Guide before your first engagement — it explains the research and reasoning behind Tabs 6–9.</t>
  </si>
  <si>
    <t>Benchmarks: Service Leadership Index Q4 2024  ·  IDC Microsoft Partner Ecosystem Study  ·  Bowman Williams MSP Salary Guide 2025–2026  ·  Worklyn Partners  ·  Datto State of the MSP 2024  ·  Kaseya 2024  ·  Forrester TEI Modern Work Partner FY2025  |  TD SYNNEX Frontier Distributor  ·  Microsoft CSP Channel</t>
  </si>
  <si>
    <t>For internal workshop use only. All financial projections are illustrative. Substitute your actual rates and assumptions into Tabs 1 and 2.</t>
  </si>
  <si>
    <t xml:space="preserve">  TAB 5 OF 9  ·  SCENARIO ANALYSIS  —  Blue = your inputs. Bear/Base/Bull outputs recalculate automatically when you change rows 7–11.</t>
  </si>
  <si>
    <t xml:space="preserve">  ① FIVE KEY VARIABLES  —  Adjust Bear / Base / Bull assumptions. All scenario outputs below recalculate automatically.</t>
  </si>
  <si>
    <t>Variable</t>
  </si>
  <si>
    <t>Bear 🐻</t>
  </si>
  <si>
    <t>Base 📊</t>
  </si>
  <si>
    <t>Bull 🚀</t>
  </si>
  <si>
    <t>What It Drives</t>
  </si>
  <si>
    <t>Bear</t>
  </si>
  <si>
    <t>Base</t>
  </si>
  <si>
    <t>Bull</t>
  </si>
  <si>
    <t>Close rate on new Copilot customer conversations (per quarter)</t>
  </si>
  <si>
    <t>New customer velocity → practice ARR growth</t>
  </si>
  <si>
    <t>Tier 1 → Tier 2 progression rate — % of T1 customers adding AgentCare + Credit Wrap stack within 12 months</t>
  </si>
  <si>
    <t>Blended retainer revenue per customer (stacked uplift ≈ 2.9× Tier 1 ARR)</t>
  </si>
  <si>
    <t>Billable utilization of AI Specialist (% of 1,600 hrs/year)</t>
  </si>
  <si>
    <t>Effective labor cost per billable hour</t>
  </si>
  <si>
    <t>Annual labor cost inflation (affects AI Specialist salary)</t>
  </si>
  <si>
    <t>SG&amp;A pressure / EBITDA compression</t>
  </si>
  <si>
    <t>Annual logo churn rate (% of retainer customers lost per year)</t>
  </si>
  <si>
    <t>Multi-year retainer ARR sustainability</t>
  </si>
  <si>
    <t xml:space="preserve">  ② PRACTICE ASSUMPTIONS  —  Flow automatically from Tabs 1 and 2. Change your practice design in those tabs to update this section.</t>
  </si>
  <si>
    <t>Value</t>
  </si>
  <si>
    <t>Tier 1 customers (retainer base)</t>
  </si>
  <si>
    <t>Tab 2 row 7</t>
  </si>
  <si>
    <t>Tier 1 users per customer</t>
  </si>
  <si>
    <t>Tier 1 monthly retainer ($/user/mo)</t>
  </si>
  <si>
    <t>Tier 1 ARR (baseline retainer revenue)</t>
  </si>
  <si>
    <t>Recurring retainer ARR — base for churn and retention modeling</t>
  </si>
  <si>
    <t>Tab 2 row 39</t>
  </si>
  <si>
    <t>Current total revenue — Tab 1</t>
  </si>
  <si>
    <t>Tab 1 row 18</t>
  </si>
  <si>
    <t>Current EBITDA — Tab 1</t>
  </si>
  <si>
    <t>Tab 1 row 24</t>
  </si>
  <si>
    <t>AI Specialist fully-loaded annual cost</t>
  </si>
  <si>
    <t>Tab 2 row 36</t>
  </si>
  <si>
    <t xml:space="preserve">  ③ SCENARIO OUTPUTS  —  Calculated impact of each scenario on ARR, labor cost, EBITDA, and 3-year value.</t>
  </si>
  <si>
    <t>Output Metric</t>
  </si>
  <si>
    <t>Bear vs Base</t>
  </si>
  <si>
    <t>Bull vs Base</t>
  </si>
  <si>
    <t>Notes</t>
  </si>
  <si>
    <t>New Copilot customers added / year (est.)</t>
  </si>
  <si>
    <t>25 prospects/quarter × close rate × 4 quarters</t>
  </si>
  <si>
    <t>Net Copilot ARR after churn (Year 1)</t>
  </si>
  <si>
    <t>Retained ARR × (1–churn) + new customer adds priced at Tier 1 stacked rate. Blended uplift from Tier 2/3 progression is modeled separately on row 28.</t>
  </si>
  <si>
    <t>Blended avg ARR per retainer customer</t>
  </si>
  <si>
    <t>T1 base + stacked Tier 2 uplift (≈2.88×: $1,725/mo stacked ÷ $600/mo T1) weighted by progression rate. Partners pricing flat see a smaller uplift (~1.7×) — edit the multiplier to match.</t>
  </si>
  <si>
    <t>Effective AI Specialist cost per billable hour</t>
  </si>
  <si>
    <t>Lower utilization = same salary spread over fewer revenue hours</t>
  </si>
  <si>
    <t>Total AI Specialist cost (inflation + util. adjusted)</t>
  </si>
  <si>
    <t>Fully-loaded cost × (1+inflation) / utilization rate</t>
  </si>
  <si>
    <t>Incremental EBITDA from Copilot practice</t>
  </si>
  <si>
    <t>42–50% blended practice margin (stacked model weighted mix of T1 48% / T2 45% / T3 41%) minus incremental labor cost delta. Adjust downward if modeling flat-tier pricing.</t>
  </si>
  <si>
    <t>Year-1 cohort ARR surviving to Year 3 (net of churn)</t>
  </si>
  <si>
    <t>Year-1 ARR × annual retention rate × annual retention rate</t>
  </si>
  <si>
    <t>Incremental Copilot EBITDA as % of combined revenue</t>
  </si>
  <si>
    <t>Incremental Copilot EBITDA as % of combined total revenue</t>
  </si>
  <si>
    <t xml:space="preserve">  ④ HIRE DECISION FRAMEWORK  —  When does the AI Specialist hire make sense?</t>
  </si>
  <si>
    <t>Delay AI Specialist hire 6–12 months. Use TD SYNNEX ServiceSolv for co-delivery. Re-evaluate when close rate exceeds 20% for two consecutive quarters.</t>
  </si>
  <si>
    <t>Hire AI Specialist in Month 3–4. Payback &lt; 3 months at designed ARR. Build Tier 2 pipeline immediately after first 10 Tier 1 customers.</t>
  </si>
  <si>
    <t>Hire AI Specialist in Month 1. Consider a second specialist by Month 9. Accelerate Tier 3 development and begin Azure AI custom solution pipeline.</t>
  </si>
  <si>
    <t>Key Signal</t>
  </si>
  <si>
    <t>Close rate &gt; 25% AND Tier 1→2 progression &gt; 30% = hire immediately. Both signals visible in your Tab 2 actuals within 90 days of launch.</t>
  </si>
  <si>
    <t xml:space="preserve">  INPUT KEY:  🐻 Bear = red cells (pessimistic)  📊 Base = yellow cells (realistic)  🚀 Bull = green cells (optimistic)  |  Change rows 7–11 only. All outputs recalculate instantly.</t>
  </si>
  <si>
    <t xml:space="preserve">  TAB 6  ·  OUTCOME-BASED ENGAGEMENT MECHANICS  —  Use these frameworks when pricing outcome-based or kicker engagements.</t>
  </si>
  <si>
    <t xml:space="preserve">  ① FOUR AI/LLM NON-NEGOTIABLES — Complete this checklist before quoting any outcome-based engagement</t>
  </si>
  <si>
    <t>Non-Negotiable</t>
  </si>
  <si>
    <t>Action Required</t>
  </si>
  <si>
    <t>Why It Matters</t>
  </si>
  <si>
    <t>Status / Notes</t>
  </si>
  <si>
    <t>① Capture baseline BEFORE you quote</t>
  </si>
  <si>
    <t>Document current-state KPI values (with timestamps) before signing the SOW.</t>
  </si>
  <si>
    <t>No baseline = no provable delta. The kicker cannot be earned or disputed without it.</t>
  </si>
  <si>
    <t>□ Pending</t>
  </si>
  <si>
    <t>② Build a counterfactual</t>
  </si>
  <si>
    <t>Define a control cohort or clean historical period to compare against.</t>
  </si>
  <si>
    <t>Isolates AI impact from market, seasonal, or operational changes. Required for CPA review.</t>
  </si>
  <si>
    <t>③ Name one counter-metric per KPI</t>
  </si>
  <si>
    <t>For every efficiency KPI, name one quality/risk metric that must not degrade.</t>
  </si>
  <si>
    <t>Prevents gaming. E.g., if cycle time is the KPI, error rate is the counter-metric.</t>
  </si>
  <si>
    <t>④ Cap kicker at 25% of base (10% floor / 25% ceiling)</t>
  </si>
  <si>
    <t>Contract the kicker as: floor = 10% of base fee, ceiling = 25% of base fee.</t>
  </si>
  <si>
    <t>Keeps the engagement commercially predictable. Protects both partner and customer.</t>
  </si>
  <si>
    <t xml:space="preserve">  ② RACI — DEAL-PREP REFERENCE  (Customer Side + Partner Side)</t>
  </si>
  <si>
    <t>Accountability</t>
  </si>
  <si>
    <t>Gate Involvement</t>
  </si>
  <si>
    <t>No-Go Signal</t>
  </si>
  <si>
    <t xml:space="preserve">  CUSTOMER SIDE</t>
  </si>
  <si>
    <t>Executive Sponsor</t>
  </si>
  <si>
    <t>Owns the KPI. Signs the kicker clause.</t>
  </si>
  <si>
    <t>Gate 1 (baseline), Gate 5 (kicker validation)</t>
  </si>
  <si>
    <t>Missing = do not price outcome-based</t>
  </si>
  <si>
    <t>Business Champion</t>
  </si>
  <si>
    <t>Daily counterpart. Clears internal friction.</t>
  </si>
  <si>
    <t>All gates — required at every review</t>
  </si>
  <si>
    <t>No seat, no sign — block the deal</t>
  </si>
  <si>
    <t>IT / Security</t>
  </si>
  <si>
    <t>Tenant access, data pipes, security policy.</t>
  </si>
  <si>
    <t>Gate 1 (readiness), Gate 2 (agent deploy)</t>
  </si>
  <si>
    <t>Unresolved policy blocks = delay SOW</t>
  </si>
  <si>
    <t>End-User Cohort</t>
  </si>
  <si>
    <t>Named pilot group — informed ahead of launch.</t>
  </si>
  <si>
    <t>Gate 2 (activation), Gate 3 (adoption eval)</t>
  </si>
  <si>
    <t>Unnamed cohort = no valid baseline</t>
  </si>
  <si>
    <t>Compliance (if regulated)</t>
  </si>
  <si>
    <t>Approves audit pattern at Gate 1.</t>
  </si>
  <si>
    <t>Gate 1 only (for regulated verticals)</t>
  </si>
  <si>
    <t>Required for HIPAA/FIN/FEDRAMP verticals</t>
  </si>
  <si>
    <t xml:space="preserve">  PARTNER SIDE</t>
  </si>
  <si>
    <t>Delivery Lead</t>
  </si>
  <si>
    <t>Runs all five gates. Single accountable person.</t>
  </si>
  <si>
    <t>All gates</t>
  </si>
  <si>
    <t>No named lead = do not start engagement</t>
  </si>
  <si>
    <t>AI Coach</t>
  </si>
  <si>
    <t>Runs adoption clinics, tunes agent, reads evals.</t>
  </si>
  <si>
    <t>Gates 2–4</t>
  </si>
  <si>
    <t>Required for Tier 2/3 engagements</t>
  </si>
  <si>
    <t>Data / Security Eng</t>
  </si>
  <si>
    <t>Grounding, RBAC, audit plumbing.</t>
  </si>
  <si>
    <t>Gate 1, Gate 2</t>
  </si>
  <si>
    <t>Required if agents touch sensitive data</t>
  </si>
  <si>
    <t>vCIO / Account Exec</t>
  </si>
  <si>
    <t>Sponsor relationship, kicker math, conversion.</t>
  </si>
  <si>
    <t>Gate 1 (scoping), Gate 5 (kicker)</t>
  </si>
  <si>
    <t>Must be present for kicker conversations</t>
  </si>
  <si>
    <t>ServiceSolv (optional)</t>
  </si>
  <si>
    <t>TD SYNNEX bench for unstaffable roles.</t>
  </si>
  <si>
    <t>Any gate where partner lacks capacity</t>
  </si>
  <si>
    <t>Engage via TD SYNNEX if role is unfilled</t>
  </si>
  <si>
    <t xml:space="preserve">  ③ KICKER MATH CALCULATOR  —  Enter base fee below. Floor and ceiling auto-calculate.</t>
  </si>
  <si>
    <t>Input</t>
  </si>
  <si>
    <t>Calculated</t>
  </si>
  <si>
    <t>Note</t>
  </si>
  <si>
    <t>Base engagement fee ($)</t>
  </si>
  <si>
    <t>Enter your Activation or Workflow sprint base fee</t>
  </si>
  <si>
    <t>Kicker floor (10% of base)</t>
  </si>
  <si>
    <t>Minimum earned if any KPI improvement ≥ 1%</t>
  </si>
  <si>
    <t>Kicker ceiling (25% of base)</t>
  </si>
  <si>
    <t>Maximum earned regardless of outperformance</t>
  </si>
  <si>
    <t>Total max engagement value (base + ceiling)</t>
  </si>
  <si>
    <t>Price the SOW not to exceed this number</t>
  </si>
  <si>
    <t>Total min engagement value (base + floor)</t>
  </si>
  <si>
    <t>Minimum the partner earns if KPI is met at any level</t>
  </si>
  <si>
    <t>⚑  Kicker convention: the kicker is paid on VALIDATED improvement only — confirmed at Gate 5 by the Executive Sponsor. Never pay kicker on self-reported data.</t>
  </si>
  <si>
    <t>⚑  For CPA review: document baseline methodology, counterfactual approach, and counter-metrics in the SOW Appendix. Store all gate evidence in a shared audit folder.</t>
  </si>
  <si>
    <t>TD SYNNEX  ·  Copilot Practice Builder  ·  Partner Workshop Tool</t>
  </si>
  <si>
    <t>TAB 8  ·  COPILOT ACTIVATION WORKLIST  —  Phase-gated checklist for Tier 1 Activation Sprint. Use this to plan, run, and checkpoint an end-to-end Copilot deployment engagement.</t>
  </si>
  <si>
    <t>✓</t>
  </si>
  <si>
    <t>TASK / DELIVERABLE</t>
  </si>
  <si>
    <t>DETAIL / GUIDANCE</t>
  </si>
  <si>
    <t>OWNER</t>
  </si>
  <si>
    <t>GATE</t>
  </si>
  <si>
    <t>TARGET DATE</t>
  </si>
  <si>
    <t>STATUS</t>
  </si>
  <si>
    <t xml:space="preserve">  PRE-ENGAGEMENT  ·  Week 0 — Before the SOW is signed</t>
  </si>
  <si>
    <t xml:space="preserve">  Confirm the four AI/LLM non-negotiables and RACI before pricing any outcome-based work. These steps protect you and the customer.</t>
  </si>
  <si>
    <t>□</t>
  </si>
  <si>
    <t>Qualify the executive sponsor</t>
  </si>
  <si>
    <t>Confirm a named executive who owns the primary KPI and has authority to sign the kicker clause. If no sponsor exists, do not price outcome-based work.</t>
  </si>
  <si>
    <t>vCIO / AE</t>
  </si>
  <si>
    <t>Pre-Gate</t>
  </si>
  <si>
    <t>Not started</t>
  </si>
  <si>
    <t>Confirm Business Champion identity</t>
  </si>
  <si>
    <t>Name the day-to-day counterpart who will clear internal friction, attend every gate review, and communicate to end users. No champion = no sign.</t>
  </si>
  <si>
    <t>Verify M365 licensing eligibility</t>
  </si>
  <si>
    <t>Customer must have M365 Business Basic, Standard, or Premium. Confirm Copilot Business ($21/user/mo) or M365 Copilot add-on licenses are in scope. Check update channel (Current or Monthly Enterprise).</t>
  </si>
  <si>
    <t>AI Specialist / L3</t>
  </si>
  <si>
    <t>Run SharePoint oversharing baseline</t>
  </si>
  <si>
    <t>Pull 'Site permissions across your organization' report from SharePoint Admin Center &gt; Reports &gt; Data Access Governance. Flag any sites with broad EEEU or 'Anyone with link' sharing. This is your highest pre-flight risk.</t>
  </si>
  <si>
    <t>AI Spec / Data Eng</t>
  </si>
  <si>
    <t>Audit MFA and Conditional Access posture</t>
  </si>
  <si>
    <t>Confirm MFA is enforced for all admin accounts. Microsoft now enforces MFA for M365 admin center. Identify any CA policy gaps before Copilot access is granted.</t>
  </si>
  <si>
    <t>AI Spec / L3</t>
  </si>
  <si>
    <t>Review Purview sensitivity label state</t>
  </si>
  <si>
    <t>Check whether sensitivity labels exist and are applied to key document libraries. Note: labels are not required to deploy Copilot, but absent labels = higher oversharing risk surfaced by Copilot prompts.</t>
  </si>
  <si>
    <t>Define the primary KPI (outcome-based only)</t>
  </si>
  <si>
    <t>For outcome-based sprint pricing: document the exact KPI, its current baseline value with timestamp, and the measurement methodology before SOW signature. No baseline = no kicker.</t>
  </si>
  <si>
    <t>vCIO / Delivery Lead</t>
  </si>
  <si>
    <t>Name one counter-metric per KPI</t>
  </si>
  <si>
    <t>For every efficiency KPI, specify a quality or risk metric that must not degrade (e.g., if cycle time is the KPI, error rate is the counter-metric). Include both in the SOW appendix.</t>
  </si>
  <si>
    <t>Build counterfactual definition</t>
  </si>
  <si>
    <t>Define a control cohort or clean historical period to compare against. Required for CPA review on outcome-based engagements. Isolates AI impact from seasonal or market changes.</t>
  </si>
  <si>
    <t>Delivery Lead / AI Spec</t>
  </si>
  <si>
    <t>Draft and sign SOW</t>
  </si>
  <si>
    <t>SOW must include: scope definition, five-gate checkpoints, kicker formula (floor 10% / ceiling 25% of base fee), counter-metrics, and pre-agreed conversion path to Tier 1 MRR on Day 91.</t>
  </si>
  <si>
    <t xml:space="preserve">  GATE 1  ·  Week 2 — Readiness Lock</t>
  </si>
  <si>
    <t xml:space="preserve">  Baseline captured. Tenant validated. Pilot cohort named. No deployment begins until all Gate 1 items are green.</t>
  </si>
  <si>
    <t>Run Microsoft 365 readiness scan</t>
  </si>
  <si>
    <t>Use Microsoft 365 admin center health dashboard. Confirm all services are healthy. Verify Copilot is visible in Teams, Outlook, and Office apps for at least one test account.</t>
  </si>
  <si>
    <t>Gate 1</t>
  </si>
  <si>
    <t>Complete sensitivity label configuration</t>
  </si>
  <si>
    <t>Configure Microsoft Purview sensitivity labels. Apply default labels to HR, Finance, and Legal document libraries at minimum. Use SharePoint Advanced Management (SAM) — included with Copilot license — to run oversharing remediation.</t>
  </si>
  <si>
    <t>Remediate high-risk overshared sites</t>
  </si>
  <si>
    <t>Based on Pre-Gate DAG report: switch sensitive sites (HR, Finance, Legal) from Public to Private. Remove 'Everyone except external users' from any site where it is not operationally required.</t>
  </si>
  <si>
    <t>Assign Copilot licenses to pilot cohort</t>
  </si>
  <si>
    <t>Assign licenses to Day 1 Champions only (5–10 users). Document cohort member names, roles, and departments. Named cohort is required for baseline validity.</t>
  </si>
  <si>
    <t>AI Specialist</t>
  </si>
  <si>
    <t>Identify and brief Copilot Champions (2–3)</t>
  </si>
  <si>
    <t>Select champions who have a process or department in common and are willing to onboard first. Provide champion toolkit. Brief them on the pilot goals and their role in peer adoption.</t>
  </si>
  <si>
    <t>Delivery Lead / AI Coach</t>
  </si>
  <si>
    <t>Capture Day 0 KPI baseline (outcome-based)</t>
  </si>
  <si>
    <t>Record the primary KPI baseline value with date and measurement method. Store in shared audit folder. This value is the denominator for all kicker calculations.</t>
  </si>
  <si>
    <t>Confirm IT/Security Gate 1 sign-off</t>
  </si>
  <si>
    <t>IT and Security must confirm: tenant access, data pipes live, security policy reviewed, RBAC and CA policies confirmed, Purview DLP policies active or scheduled.</t>
  </si>
  <si>
    <t>Deliver role-specific prompt library v1 (10–15 prompts)</t>
  </si>
  <si>
    <t>Build initial prompts tailored to 2–3 key roles (e.g., Sales, Operations, Finance). Deliver as SharePoint page + one-page PDF reference card. This is a Tier 1 Service Menu deliverable ($1,500–$3,000).</t>
  </si>
  <si>
    <t>AI Coach / AI Spec</t>
  </si>
  <si>
    <t>Run onboarding &amp; setup session with Champions</t>
  </si>
  <si>
    <t>1–2 week onboarding sprint: tenant readiness check, license assignment, prompt library handoff, initial training for Champions. Tier 1 deliverable ($1,500–$2,500).</t>
  </si>
  <si>
    <t>AI Coach / L2</t>
  </si>
  <si>
    <t>Document Gate 1 status in shared audit folder</t>
  </si>
  <si>
    <t>Log all Gate 1 items as green/yellow/red. Store baseline KPI, DAG report, sensitivity label config, and cohort list in customer-accessible SharePoint folder. Required for kicker validation at Gate 5.</t>
  </si>
  <si>
    <t xml:space="preserve">  GATE 2  ·  Week 6 — Activation Confirmed</t>
  </si>
  <si>
    <t xml:space="preserve">  Champions are active. Broad rollout provisioned. Adoption program running. Assess whether active user % is tracking toward target.</t>
  </si>
  <si>
    <t>Provision Copilot licenses to full cohort</t>
  </si>
  <si>
    <t>Expand from Champions to all users in scope. Confirm Copilot is visible in all Microsoft 365 apps. Use Microsoft 365 admin center to monitor license assignment status.</t>
  </si>
  <si>
    <t>Gate 2</t>
  </si>
  <si>
    <t>Deliver role-based training workshops</t>
  </si>
  <si>
    <t>2-hour live session per department (up to 4 roles). Hands-on prompting, use-case demonstration. Tier 1 deliverable ($800–$1,200/session). Prioritize roles identified in Pre-Gate scenario mapping.</t>
  </si>
  <si>
    <t>Build Copilot Usage Analytics Dashboard</t>
  </si>
  <si>
    <t>Deploy Power BI or Viva Insights dashboard tracking: active users %, prompt usage volume, top use cases, and sentiment. Tier 1 deliverable ($2,500–$4,000). This is your ongoing MBR data feed.</t>
  </si>
  <si>
    <t>Establish Copilot community channel</t>
  </si>
  <si>
    <t>Set up Microsoft Teams community channel (or Viva Engage for enterprise). Champions seed with prompts, wins, and FAQs. Share resources and encourage peer-to-peer adoption.</t>
  </si>
  <si>
    <t>AI Coach / Champion</t>
  </si>
  <si>
    <t>Develop AI Acceptable Use Policy</t>
  </si>
  <si>
    <t>Draft AUP covering: data handling, IP, sharing restrictions, Copilot-specific guardrails. Recommend legal review by customer. Tier 1 deliverable ($2,000–$3,500). Required for regulated verticals.</t>
  </si>
  <si>
    <t>Review active user % vs. target</t>
  </si>
  <si>
    <t>Benchmark: target 30%+ active users within first 30 days. Below 30% triggers Low-Adoption Intervention Sprint ($2,000–$3,500). Document current usage rate in audit folder.</t>
  </si>
  <si>
    <t>AI Coach / Delivery Lead</t>
  </si>
  <si>
    <t>Collect initial user sentiment (pulse survey)</t>
  </si>
  <si>
    <t>Short 3-question pulse survey to pilot cohort: (1) Is Copilot saving you time? (2) Where is it most useful? (3) What is not working? Use results to tune prompt library v2.</t>
  </si>
  <si>
    <t>Document Gate 2 status in audit folder</t>
  </si>
  <si>
    <t>Update shared audit folder with: active user %, dashboard screenshot, AUP draft, training attendance log. Flag any yellow/red items for Delivery Lead review.</t>
  </si>
  <si>
    <t xml:space="preserve">  GATE 3  ·  Day 45 — Adoption Evaluation</t>
  </si>
  <si>
    <t xml:space="preserve">  Mid-sprint health check. Assess adoption depth. Identify departments at risk. Make go/no-go decision on expansion.</t>
  </si>
  <si>
    <t>Review Viva Insights / Copilot Analytics dashboard</t>
  </si>
  <si>
    <t>Pull 30-day active user rate, prompt volume, and top use cases from Copilot Dashboard. Benchmark: &gt;40% active user rate by Day 45 is on track. &lt;30% requires intervention.</t>
  </si>
  <si>
    <t>Gate 3</t>
  </si>
  <si>
    <t>Identify departments below 30% active-user threshold</t>
  </si>
  <si>
    <t>Flag any department or role group below threshold for Low-Adoption Intervention Sprint. Document root cause (training gap, tool friction, low champion engagement). Propose 30-day re-engagement plan.</t>
  </si>
  <si>
    <t>Tune prompt library to actual usage patterns</t>
  </si>
  <si>
    <t>Update prompt library v2 based on what users are actually asking. Add 10–15 new prompts for the top workflows that are generating results. Deprecate prompts with low engagement.</t>
  </si>
  <si>
    <t>Conduct mid-sprint sponsor review</t>
  </si>
  <si>
    <t>45-minute meeting with Executive Sponsor and Business Champion. Present: usage dashboard, adoption rate, top use cases, early productivity signals. Preview Gate 4 KPI measurement plan.</t>
  </si>
  <si>
    <t>Delivery Lead / vCIO</t>
  </si>
  <si>
    <t>Assess agent build readiness (Tier 2 signal)</t>
  </si>
  <si>
    <t>Look for: (1) repetitive manual workflow that Copilot is doing imperfectly, (2) a user request for automation, (3) an Excel/Word workflow that runs more than weekly. Document as agent build candidate for Stage 2 conversation.</t>
  </si>
  <si>
    <t>AI Spec / Delivery Lead</t>
  </si>
  <si>
    <t>Review SharePoint governance health</t>
  </si>
  <si>
    <t>Re-run DAG oversharing report. Confirm no new broad-sharing events since Gate 1 remediation. Check if sensitivity labels are being applied to new content.</t>
  </si>
  <si>
    <t>Document Gate 3 status in audit folder</t>
  </si>
  <si>
    <t>Record active user % at Day 45, department-level breakdown, prompt library v2, and sponsor review notes. Update kicker tracking if applicable.</t>
  </si>
  <si>
    <t xml:space="preserve">  GATE 4  ·  Day 75 — Impact Evidence</t>
  </si>
  <si>
    <t xml:space="preserve">  Evidence phase. Begin KPI measurement for outcome-based kicker. Qualify Tier 2 agent build pipeline.</t>
  </si>
  <si>
    <t>Measure primary KPI vs. Day 0 baseline (outcome-based)</t>
  </si>
  <si>
    <t>Compare current KPI value to Gate 1 baseline. Calculate delta and express as % improvement. Validate with Executive Sponsor. Document in audit folder with timestamps.</t>
  </si>
  <si>
    <t>Gate 4</t>
  </si>
  <si>
    <t>Validate counter-metric has not degraded</t>
  </si>
  <si>
    <t>Confirm the counter-metric defined in Pre-Gate has not degraded. E.g., if cycle time improved, verify error rate has not increased. Failure here prevents kicker payment.</t>
  </si>
  <si>
    <t>Build Copilot ROI Report draft</t>
  </si>
  <si>
    <t>Quantify: time savings per user per week (Microsoft benchmark: 3–4 hrs/user/wk for professional services), top use cases, satisfaction score, adoption rate. Format for executive / board presentation. Tier 1 deliverable ($1,500–$2,500).</t>
  </si>
  <si>
    <t>Amplify success stories</t>
  </si>
  <si>
    <t>Collect 2–3 specific, named user stories. Convert to internal communications. Share in Teams community channel and with Executive Sponsor. Peer stories are the #1 adoption driver.</t>
  </si>
  <si>
    <t>Present Tier 2 agent build proposal (if qualified)</t>
  </si>
  <si>
    <t>If Gate 3 surfaced an agent build candidate: present Agent Discovery Workshop ($3,500–$6,000) and scoped agent build proposal ($5,000–$8,000 simple / $12,000–$28,000 complex). Initiate Tab 9 workflow for this engagement.</t>
  </si>
  <si>
    <t>Preview MRR conversion conversation with Sponsor</t>
  </si>
  <si>
    <t>Frame the Day 91 Tier 1 retainer conversion: '12 users × $12/user/mo = $144/mo. Here is what that buys you every month.' Review service menu. Get verbal agreement before Day 85.</t>
  </si>
  <si>
    <t>Document Gate 4 status in audit folder</t>
  </si>
  <si>
    <t>Record KPI measurement, counter-metric validation, ROI report draft, and agent build pipeline status. All stored with timestamps for Gate 5 kicker review.</t>
  </si>
  <si>
    <t xml:space="preserve">  GATE 5  ·  Day 90 — Kicker Validation + MRR Conversion</t>
  </si>
  <si>
    <t xml:space="preserve">  Sprint close-out. Validate kicker (if outcome-based). Convert sprint into Tier 1 MRR. Set 12-month roadmap. This is the gate where the relationship becomes recurring.</t>
  </si>
  <si>
    <t>Finalize KPI delta with Executive Sponsor sign-off (outcome-based)</t>
  </si>
  <si>
    <t>Present final KPI measurement to Executive Sponsor. Sponsor must validate the delta in writing. Kicker is NEVER paid on self-reported data. Calculate kicker amount: floor (10% of base) to ceiling (25% of base).</t>
  </si>
  <si>
    <t>Gate 5</t>
  </si>
  <si>
    <t>Deliver final Copilot ROI Report</t>
  </si>
  <si>
    <t>Completed version of Day 75 draft. Include: active user rate, productivity time savings, top use cases, cost-per-user, satisfaction score. Format for board/investor. Tier 1 deliverable ($1,500–$2,500).</t>
  </si>
  <si>
    <t>Sign Tier 1 managed retainer agreement (MRR conversion)</t>
  </si>
  <si>
    <t>Target: $12/user/month or agreed Tier 1 rate. SOW converts sprint deliverables into ongoing monthly retainer (MBR, usage analytics, prompt library maintenance, monthly compliance review). MRR conversion signed at Gate 5 close-out.</t>
  </si>
  <si>
    <t>Define 12-month AI roadmap with customer</t>
  </si>
  <si>
    <t>Tier 1 → Tier 2 progression path. Identify 1–2 agent build candidates. Note upcoming M365 releases (Copilot Cowork in-scope for Frontier partners). Set next 90-day goals.</t>
  </si>
  <si>
    <t>Submit MCI reimbursement application (if eligible)</t>
  </si>
  <si>
    <t>Microsoft Copilot Incentive (MCI) reimbursements available through TD SYNNEX for qualifying Copilot deployments. Submit within 30 days of sprint completion. Model conservatively at $30K in Tab 2.</t>
  </si>
  <si>
    <t>AE / vCIO</t>
  </si>
  <si>
    <t>Set AI Specialist hire decision checkpoint (if deferred)</t>
  </si>
  <si>
    <t>If Bear scenario: re-evaluate AI Specialist hire now that close rate and T1 conversion are visible. Key signal: close rate &gt; 25% AND T1→T2 progression &gt; 30% = hire immediately (per Tab 5).</t>
  </si>
  <si>
    <t>Managing Partner</t>
  </si>
  <si>
    <t>Archive full engagement evidence in audit folder</t>
  </si>
  <si>
    <t>Final folder should contain: baseline KPI, all gate evidence, ROI report, kicker calculation, signed retainer. Retain for 3 years. Required for CPA review of outcome-based kickers.</t>
  </si>
  <si>
    <t>Request customer reference and referral introduction</t>
  </si>
  <si>
    <t>Convert the outcome story into a reference. Ask Executive Sponsor: 'Would you introduce us to two peers running a similar business?' Done at this gate, not later — trust and evidence are at peak.</t>
  </si>
  <si>
    <t xml:space="preserve">  ONGOING  ·  Monthly Retainer Cadence (Tier 1 MRR)</t>
  </si>
  <si>
    <t xml:space="preserve">  Once the Tier 1 retainer is live, these are the recurring deliverables that make renewal automatic and set up the Tier 2 conversation.</t>
  </si>
  <si>
    <t>Monthly Business Review (MBR) — 45 min call + 1-page report</t>
  </si>
  <si>
    <t>Usage analytics review, top 5 user insights, next-30-day recommendations. Pull from Copilot Dashboard. Included in Tier 1 retainer. This call is where agent build opportunities surface naturally.</t>
  </si>
  <si>
    <t>Ongoing</t>
  </si>
  <si>
    <t>Recurring</t>
  </si>
  <si>
    <t>Monthly prompt library refresh (5–10 new prompts)</t>
  </si>
  <si>
    <t>Review what users are asking vs. what they're getting. Add prompts for newly surfaced use cases. Retire low-engagement prompts. Share via Teams channel and champion network.</t>
  </si>
  <si>
    <t>Monthly compliance review (AI audit logs)</t>
  </si>
  <si>
    <t>Review Copilot audit logs in Microsoft Purview. Flag anomalies. Produce 1-page executive summary for sponsor. Included in Tier 1 retainer. Critical for regulated verticals.</t>
  </si>
  <si>
    <t>Quarterly sponsor review (QBR format)</t>
  </si>
  <si>
    <t>Quarterly deep-dive: ROI update, usage trends, roadmap progress, next tier/agent build proposal. This is the Tier 2 upsell meeting.</t>
  </si>
  <si>
    <t>Assess T1→T2 progression readiness at Month 3–4</t>
  </si>
  <si>
    <t>Check: (1) Is active user rate &gt;40%? (2) Has customer named a manual workflow they want automated? (3) Is sponsor willing to discuss $350/agent/mo AgentCare? Two yes answers = present Tier 2 proposal.</t>
  </si>
  <si>
    <t>⚑  Gate checkpoints align to the Five Gates in Tab 6. Kicker math calculator also in Tab 6. For agent build follow-on, move to Tab 9.  |  Sources: Microsoft M365 Copilot Adoption Checklist · Microsoft Agents Deployment Checklist · SharePoint Advanced Management Guidance  |  TD SYNNEX Frontier Distributor</t>
  </si>
  <si>
    <t>TAB 9  ·  AGENT BUILD ENGAGEMENT WORKLIST  —  Five-phase worklist for Copilot Studio agent discovery, design, build, deploy, and managed AgentOps handoff. Use this for any Tier 2/3 agent build engagement (simple $3,500–$8,000 or complex $12,000–$28,000).</t>
  </si>
  <si>
    <t>PHASE</t>
  </si>
  <si>
    <t xml:space="preserve">  PHASE 1  ·  DISCOVER  —  Weeks 1–2  ·  Agent Discovery Workshop ($3,500–$6,000)</t>
  </si>
  <si>
    <t xml:space="preserve">  Identify the right workflow to automate. Map business pain to agent architecture. Produce a prioritized candidate list and get the SOW signed before building anything.</t>
  </si>
  <si>
    <t>Conduct Agent Discovery Workshop (½ day)</t>
  </si>
  <si>
    <t>Structured ½-day session with Business Champion and 2–3 process owners. Goal: identify automation candidates. Output: prioritized list of 3–5 agent build candidates with ROI estimates. Tier 1 Discovery deliverable ($3,500–$6,000).</t>
  </si>
  <si>
    <t>Phase 1</t>
  </si>
  <si>
    <t>Map and document target workflow</t>
  </si>
  <si>
    <t>Use Workflow Mapping &amp; Process Inventory methodology: document 10–15 key steps in the target workflow. Tag each for: data sensitivity, human decision points, error-prone steps, frequency, and agent applicability ($2,500–$4,500 as standalone).</t>
  </si>
  <si>
    <t>AI Spec / AI Coach</t>
  </si>
  <si>
    <t>Define agent use case and business outcome</t>
  </si>
  <si>
    <t>Complete the agent planning guide (per Microsoft Learn planning guide): (1) What problem does this solve? (2) Who are the primary users? (3) What data does the agent need? (4) What actions will it take? (5) What does success look like in 90 days?</t>
  </si>
  <si>
    <t>Confirm data sources and access permissions</t>
  </si>
  <si>
    <t>Identify every data source the agent will query: SharePoint libraries, OneDrive folders, Teams channels, external systems. Verify RBAC — Copilot agent inherits the calling user's permissions. Overshared sources = overshared agent.</t>
  </si>
  <si>
    <t>Assess licensing and cost model for the agent</t>
  </si>
  <si>
    <t>Confirm: M365 Copilot license covers declarative agents (no message consumption). Copilot Studio autonomous agents consume message credits ($200/month for 25K messages, or $0.008/message). Estimate monthly message volume for the SOW.</t>
  </si>
  <si>
    <t>AI Spec / AE</t>
  </si>
  <si>
    <t>Conduct build-vs-template decision</t>
  </si>
  <si>
    <t>Check Microsoft Agent Store and Copilot Studio templates first. HR bots, IT support agents, employee onboarding agents — many are available as templates. Starting from a template reduces Phase 3 build time by 30–50% on simple agents.</t>
  </si>
  <si>
    <t>AI Spec</t>
  </si>
  <si>
    <t>Assess agent complexity tier</t>
  </si>
  <si>
    <t>Simple declarative agent (Agent Builder, knowledge-only, no external actions): $3,500–$8,000 / 2–4 week build. Complex Copilot Studio agent (actions, external connectors, multi-agent orchestration): $12,000–$28,000 / 6–10 week build.</t>
  </si>
  <si>
    <t>Define primary KPI and counter-metric (outcome-based)</t>
  </si>
  <si>
    <t>If this is a Workflow Outcome Sprint: name the KPI (e.g., loan pre-qual cycle time from 3 days to 4 hours). Name the counter-metric (e.g., error rate must not increase). Cap kicker at 10% floor / 25% ceiling of base fee.</t>
  </si>
  <si>
    <t>Capture process baseline before agent deploy</t>
  </si>
  <si>
    <t>Outcome-based requirement: document current process KPI with date, measurement method, and responsible validator BEFORE any agent code is written. Store in shared audit folder.</t>
  </si>
  <si>
    <t>Draft SOW with Phase 3 fixed-price proposal</t>
  </si>
  <si>
    <t>SOW must include: agent description, data sources, RBAC scope, five-gate checkpoints, kicker formula (if outcome-based), counter-metrics, and pre-agreed AgentOps conversion path. Partner insight: customer sign-off on scope here is your scope fence.</t>
  </si>
  <si>
    <t xml:space="preserve">  PHASE 2  ·  DESIGN  —  Weeks 2–4  ·  Partner investment: 8–12 hrs (included in build fee)</t>
  </si>
  <si>
    <t xml:space="preserve">  Design the agent architecture before writing a single line of code. Partners who skip Design and go straight to Build report 40–60% more rework in the test phase. Design sign-off is your scope fence.</t>
  </si>
  <si>
    <t>Choose the right Copilot Studio experience</t>
  </si>
  <si>
    <t>Agent Builder (M365 Copilot, no-code, declarative only, included in Copilot license) for simple knowledge agents. Copilot Studio (Power Platform, actions + connectors, autonomous capabilities, message credits) for complex workflows. Do not over-engineer.</t>
  </si>
  <si>
    <t>Phase 2</t>
  </si>
  <si>
    <t>Design conversation flow and topic structure</t>
  </si>
  <si>
    <t>Map all user intent paths: What are the 5–10 things users will ask? Define fallback and escalation paths. Document in a simple decision tree before building. Use Copilot Studio Topics and Entities framework.</t>
  </si>
  <si>
    <t>Define knowledge sources and grounding</t>
  </si>
  <si>
    <t>List every SharePoint site, OneDrive folder, or external connector the agent will use as a knowledge source. Confirm all sources are properly permissioned (RBAC). Bad grounding = bad answers.</t>
  </si>
  <si>
    <t>Configure agent instructions and persona</t>
  </si>
  <si>
    <t>Write the agent's system prompt: define its name, role, tone, what it can and cannot answer, and how it should handle uncertainty. Use Copilot Studio's instruction field. Explicit instructions = predictable behavior.</t>
  </si>
  <si>
    <t>Design actions and Power Automate flows (if applicable)</t>
  </si>
  <si>
    <t>For agents that take actions (create records, send emails, update systems): design the Power Automate flows. Confirm connector availability and authentication method. Map each action to a user intent.</t>
  </si>
  <si>
    <t>Plan ALM environment strategy</t>
  </si>
  <si>
    <t>Establish at minimum: Development environment + Production environment. For regulated verticals add Test environment. All ALM environments require Dataverse. Plan version control, changelog, and rollback procedures.</t>
  </si>
  <si>
    <t>Define DLP and RBAC guardrails</t>
  </si>
  <si>
    <t>Configure Data Loss Prevention policies in Power Platform to control what connectors the agent can use. Set up Restricted Access Control (RAC) on any SharePoint sites in the agent's knowledge scope if oversharing risk exists.</t>
  </si>
  <si>
    <t>Create golden prompt test set (15–20 test cases)</t>
  </si>
  <si>
    <t>Before building, define 15–20 'golden prompts' — representative user questions — with expected answers. This becomes your acceptance criteria in Phase 3. Microsoft's agent evaluation framework is built around this pattern.</t>
  </si>
  <si>
    <t>Get customer sign-off on design specification</t>
  </si>
  <si>
    <t>Present design spec to Business Champion and IT/Security. Document approval in audit folder. This sign-off is your scope fence. Changes after this point are out-of-scope and billable.</t>
  </si>
  <si>
    <t xml:space="preserve">  PHASE 3  ·  BUILD &amp; TEST  —  Weeks 4–8 (simple) / Weeks 4–14 (complex)  ·  $3,500–$28,000</t>
  </si>
  <si>
    <t xml:space="preserve">  Build in the Development environment. Run golden prompt test set. Do not deploy to Production until pass rate exceeds 90%. Regression eval is part of this phase.</t>
  </si>
  <si>
    <t>Scaffold agent in Copilot Studio (Development env)</t>
  </si>
  <si>
    <t>Create agent in Development environment using the method selected in Phase 2 (Agent Builder or Copilot Studio). Use natural language to describe intent — the platform will generate name, description, and instructions.</t>
  </si>
  <si>
    <t>Phase 3</t>
  </si>
  <si>
    <t>Add knowledge sources to agent</t>
  </si>
  <si>
    <t>Add SharePoint sites, OneDrive folders, or Graph connectors as knowledge sources. Verify each source is accessible by the agent (RBAC check). Test knowledge retrieval with simple factual questions before adding actions.</t>
  </si>
  <si>
    <t>Configure suggested starter prompts</t>
  </si>
  <si>
    <t>Add 5–10 suggested prompts that appear on the agent's welcome page in Teams/M365 Copilot. These should match the golden prompts defined in Phase 2 — they reduce user friction and drive early adoption.</t>
  </si>
  <si>
    <t>Build and test Power Automate flows (if applicable)</t>
  </si>
  <si>
    <t>Build and unit-test each Power Automate flow independently before connecting to agent. Test with edge cases: missing data, duplicate records, API timeouts. Use simulated test data, not production data.</t>
  </si>
  <si>
    <t>Run golden prompt test set (pass rate target: &gt;90%)</t>
  </si>
  <si>
    <t>Execute all 15–20 golden prompts from Phase 2. Record: pass/fail for each, false positives (marked pass but should fail), and true negatives. Pass rate = (passed/total) × 100. Below 90% = return to Phase 2 instructions.</t>
  </si>
  <si>
    <t>Conduct regression evaluation</t>
  </si>
  <si>
    <t>For updates to existing agents: run full golden prompt test set after each significant change. Use Copilot Studio's built-in agent evaluation feature for automated regression testing. Set up ongoing evaluation cadence.</t>
  </si>
  <si>
    <t>Validate DLP and RBAC guardrails in test</t>
  </si>
  <si>
    <t>Confirm: (1) agent cannot access content the calling user does not have permission to access, (2) DLP policies are blocking disallowed connectors, (3) sensitive content is not surfaced to unauthorized users.</t>
  </si>
  <si>
    <t>Sideload agent for partner UAT in M365</t>
  </si>
  <si>
    <t>Use Microsoft 365 Agents Toolkit to sideload the agent for User Acceptance Testing within your own tenant first. The toolkit handles registration and auth — one-click Provision and Start Debugging.</t>
  </si>
  <si>
    <t>Conduct customer UAT with Business Champion</t>
  </si>
  <si>
    <t>Run a structured UAT session with Business Champion (and IT/Security if applicable). Collect feedback. Document pass/fail and any change requests. Approved changes go into Phase 3 v2 before Production deploy.</t>
  </si>
  <si>
    <t>Final DLP, RBAC, and scope validation before Production</t>
  </si>
  <si>
    <t>Pre-Production checklist: (1) DLP policies validated, (2) RBAC confirmed for all knowledge sources, (3) all UAT issues resolved, (4) agent evaluation pass rate &gt;90%, (5) customer sign-off on UAT results.</t>
  </si>
  <si>
    <t xml:space="preserve">  PHASE 4  ·  DEPLOY &amp; TRAIN  —  Weeks 8–10 (simple) / Weeks 14–18 (complex)  ·  Included in build fee</t>
  </si>
  <si>
    <t xml:space="preserve">  Deploy to Production. Train end users and Business Champion. Monitor early usage. Set the Stage for AgentOps handoff and kicker measurement.</t>
  </si>
  <si>
    <t>Deploy agent to Production environment</t>
  </si>
  <si>
    <t>Import managed solution from Development to Production using Power Platform ALM. Confirm all connectors, knowledge sources, and flows are live. Run 3–5 golden prompts in Production immediately after deployment.</t>
  </si>
  <si>
    <t>Phase 4</t>
  </si>
  <si>
    <t>Publish agent to Teams and/or M365 Copilot</t>
  </si>
  <si>
    <t>Publish via Microsoft 365 admin center (Integrated Apps) for org-wide deployment, or via SharePoint channel for site-specific agents. Document the publication method and admin steps for AgentOps runbook.</t>
  </si>
  <si>
    <t>Deliver end-user training (role-specific)</t>
  </si>
  <si>
    <t>60–90 minute training session for named pilot users. Cover: what the agent does, how to start a conversation, suggested starter prompts, what it cannot do, and how to give feedback. Role-specific where possible.</t>
  </si>
  <si>
    <t>Brief Business Champion on agent management</t>
  </si>
  <si>
    <t>Train Champion on: how to share the agent, how to submit feedback, how to escalate issues, and what the AgentOps runbook looks like. Champion is your early warning system for adoption issues.</t>
  </si>
  <si>
    <t>Configure analytics and monitoring</t>
  </si>
  <si>
    <t>Set up Copilot Studio analytics dashboard: track session count, resolution rate, escalation rate, user satisfaction (thumbs up/down). Define success metrics (e.g., resolution rate &gt;70%, user satisfaction &gt;4/5). These feed the AgentOps MBR.</t>
  </si>
  <si>
    <t>Create AgentOps runbook</t>
  </si>
  <si>
    <t>Document: agent version history, known limitations, escalation path, monthly evaluation cadence, knowledge source refresh schedule, connector health monitoring, and rollback procedure. This is the deliverable that justifies AgentCare MRR.</t>
  </si>
  <si>
    <t>Set up ServiceSolv co-delivery handoff (if applicable)</t>
  </si>
  <si>
    <t>If using TD SYNNEX ServiceSolv for L1/L2 agent support: document handoff protocol, escalation SLA, and what issues ServiceSolv can resolve vs. what requires the partner AI Specialist.</t>
  </si>
  <si>
    <t>Begin KPI measurement window (outcome-based)</t>
  </si>
  <si>
    <t>Outcome-based Workflow Sprints: start the 60-day measurement window at Phase 4 go-live. Record Day 0 (post-deploy) KPI value. This is the numerator of your kicker calculation.</t>
  </si>
  <si>
    <t>Present AgentOps model at handoff (choose pricing model)</t>
  </si>
  <si>
    <t>Three AgentOps pricing options at handoff: (1) Stacked: $350/agent/mo AgentCare on top of Tier 2 per-user base + Credit Wrap. (2) Flat: $20–$25/user/mo Tier 2 all-in. (3) QBIC outcome overlay: quarterly kicker on one board-level KPI. Get signed at Phase 4 close.</t>
  </si>
  <si>
    <t xml:space="preserve">  PHASE 5 ↻  ·  AGENTOPS — Ongoing Managed AgentOps Retainer (Tier 2/3 MRR)</t>
  </si>
  <si>
    <t xml:space="preserve">  Phase 5 is the steady-state. Agent is in Production. AgentCare retainer is live. This is where the partner earns the ~$350/agent/month and the customer sees why managed AgentOps justifies the investment.</t>
  </si>
  <si>
    <t>Monthly agent evaluation run (golden prompt test set)</t>
  </si>
  <si>
    <t>Run the full golden prompt test set monthly. Calculate pass rate. If policy compliance or response quality drops &gt;5 points from baseline, trigger agent tuning sprint. Document results in audit folder.</t>
  </si>
  <si>
    <t>Phase 5</t>
  </si>
  <si>
    <t>Monthly knowledge source refresh</t>
  </si>
  <si>
    <t>Review knowledge sources for stale or outdated content. Update SharePoint libraries, connector configurations, and any hardcoded facts in the agent instructions. Stale knowledge = degraded answers.</t>
  </si>
  <si>
    <t>AI Spec / L2</t>
  </si>
  <si>
    <t>Monthly analytics review (MBR data)</t>
  </si>
  <si>
    <t>Pull Copilot Studio analytics: session count, resolution rate, top intents, escalation rate, satisfaction score. Compare to prior month. Present in MBR. Flag any intent cluster that is failing (true negative pattern).</t>
  </si>
  <si>
    <t>Monthly AgentOps MBR with Business Champion</t>
  </si>
  <si>
    <t>45-minute monthly review: agent health metrics, top user feedback themes, any blockers, next 30-day enhancements. This is the recurring touchpoint that drives agent expansion and next-agent identification.</t>
  </si>
  <si>
    <t>Quarterly kicker validation (QBIC only)</t>
  </si>
  <si>
    <t>QBIC engagements: validate primary KPI vs. prior quarter actuals. Confirm counter-metric has not degraded. Calculate kicker amount. Executive Sponsor sign-off required. Never on self-reported data.</t>
  </si>
  <si>
    <t>Quarterly agent capability expansion review</t>
  </si>
  <si>
    <t>Review: (1) Are users asking the agent for things it can't currently do? (2) Are there new Copilot Studio features (MCP connectors, multi-agent orchestration) that could enhance this agent? Propose enhancements as billable sprints.</t>
  </si>
  <si>
    <t>AI Spec / vCIO</t>
  </si>
  <si>
    <t>Assess next-agent opportunity (Agent 365 overlay)</t>
  </si>
  <si>
    <t>After the first agent is stable (3–4 months in AgentOps): identify the next workflow candidate. The best signal: 'I wish the agent could also...' from Business Champion. Agent 365 overlay ($10/user/mo) adds to Tier 3 stack.</t>
  </si>
  <si>
    <t>Annual agent architecture review</t>
  </si>
  <si>
    <t>Annually: review whether the agent's platform choice (Agent Builder vs. Copilot Studio) still fits the use case. Assess multi-agent orchestration opportunities. Review ALM environment strategy. Confirm DLP and RBAC are current.</t>
  </si>
  <si>
    <t>Monitor for model and platform updates</t>
  </si>
  <si>
    <t>Microsoft updates Copilot Studio's underlying models periodically. After major updates: run regression evaluation immediately. Log version and date. Adjust instructions if behavior changes. This is a core AgentCare deliverable.</t>
  </si>
  <si>
    <t xml:space="preserve">  FINANCIAL REFERENCE  ·  Agent Build Revenue Model (from Tab 2)</t>
  </si>
  <si>
    <t xml:space="preserve">  Use these reference figures when scoping and pricing agent engagements. All figures align to Tab 2 of the CPB Workbook.</t>
  </si>
  <si>
    <t>Tier 1 — Agent Discovery Workshop</t>
  </si>
  <si>
    <t>Included in Tier 1 Discovery service menu. Fee: $3,500–$6,000 flat. Output: prioritized list of 3–5 agent candidates with ROI estimates. Required first step before any agent build.</t>
  </si>
  <si>
    <t>Ref</t>
  </si>
  <si>
    <t>Tier 2 — Simple Agent Build (declarative, knowledge-only)</t>
  </si>
  <si>
    <t>Copilot Studio or Agent Builder. 2–4 weeks. $3,500–$8,000 fixed fee. ~35% gross margin. Converts into AgentCare at $350/agent/mo.</t>
  </si>
  <si>
    <t>AI Spec + L3</t>
  </si>
  <si>
    <t>Tier 2 — Complex Agent Build (actions + connectors)</t>
  </si>
  <si>
    <t>Copilot Studio with Power Automate flows, external connectors, or multi-agent orchestration. 6–10 weeks. $12,000–$28,000 (Phase 1 build). Phase 2 expansion $12,000–$20,000. ~28% gross margin.</t>
  </si>
  <si>
    <t>AI Spec + L3 + Data Eng</t>
  </si>
  <si>
    <t>AgentCare Retainer — Tier 2 (per agent/month)</t>
  </si>
  <si>
    <t>$350/agent/month. Stacks on Tier 2 per-user base. ~55% gross margin. Covers: monthly eval, knowledge refresh, analytics review, MBR, runbook maintenance.</t>
  </si>
  <si>
    <t>AI Coach + AI Spec</t>
  </si>
  <si>
    <t>AgentCare Retainer — Tier 3 (per agent/month)</t>
  </si>
  <si>
    <t>$400/agent/month. Stacks on Tier 3 per-user base. ~55% gross margin. Tier 3 adds AI Strategy reviews and dedicated AI Specialist time.</t>
  </si>
  <si>
    <t>AI Spec + Sr Eng</t>
  </si>
  <si>
    <t>Agent 365 Overlay — Tier 3 only</t>
  </si>
  <si>
    <t>$10/user/month on top of the Tier 3 per-user base. ~50% gross margin. Enables Agent 365 feature set and enhanced AgentOps reporting for Tier 3 customers.</t>
  </si>
  <si>
    <t>Credit Wrap — Azure consumption (Tier 2/3)</t>
  </si>
  <si>
    <t>30% markup on Azure consumption supporting agent infrastructure. ~85% gross margin. Applies when agent uses Azure AI Foundry, custom models, or significant compute.</t>
  </si>
  <si>
    <t>Workflow Outcome Sprint — Kicker formula</t>
  </si>
  <si>
    <t>Base fee: $7,500 (Tier 2 sprint). Kicker floor (10% of base): $750. Kicker ceiling (25% of base): $1,875. Gate checkpoints: Gates 2–4. KPI: cycle time or deflection %. Counter-metric: error rate must not increase.</t>
  </si>
  <si>
    <t>⚑  Phase 1–5 map to the five-phase Agent Build model in cpb.html Section 10.  AgentCare and Credit Wrap pricing aligns to Tab 2.  RACI reference in Tab 6.  Sources: Microsoft Copilot Studio Agent Development Lifecycle · M365 Agents Deployment Checklist · Copilot Studio Agent Evaluation Checklist  |  TD SYNNEX Frontier Distributor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</si>
</sst>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
    <numFmt numFmtId="166" formatCode="0.0%"/>
    <numFmt numFmtId="167" formatCode="&quot;+$&quot;#,##0;&quot;($&quot;#,##0\);\-"/>
  </numFmts>
  <fonts count="102" x14ac:knownFonts="1">
    <font>
      <sz val="11"/>
      <color theme="1"/>
      <name val="Calibri"/>
      <family val="2"/>
      <charset val="1"/>
    </font>
    <font>
      <b/>
      <sz val="13"/>
      <color rgb="FFFFFFFF"/>
      <name val="Calibri"/>
      <charset val="1"/>
    </font>
    <font>
      <b/>
      <sz val="9"/>
      <color rgb="FFFFFFFF"/>
      <name val="Calibri"/>
      <charset val="1"/>
    </font>
    <font>
      <b/>
      <sz val="8.5"/>
      <color rgb="FF6B7280"/>
      <name val="Calibri"/>
      <charset val="1"/>
    </font>
    <font>
      <sz val="8.5"/>
      <color rgb="FF1D4ED8"/>
      <name val="Calibri"/>
      <charset val="1"/>
    </font>
    <font>
      <sz val="8.5"/>
      <color rgb="FF000000"/>
      <name val="Calibri"/>
      <charset val="1"/>
    </font>
    <font>
      <sz val="8.5"/>
      <color rgb="FF065F46"/>
      <name val="Calibri"/>
      <charset val="1"/>
    </font>
    <font>
      <b/>
      <sz val="10"/>
      <color rgb="FFFFFFFF"/>
      <name val="Calibri"/>
      <charset val="1"/>
    </font>
    <font>
      <sz val="10"/>
      <color rgb="FF374151"/>
      <name val="Calibri"/>
      <charset val="1"/>
    </font>
    <font>
      <sz val="10"/>
      <color rgb="FF1D4ED8"/>
      <name val="Calibri"/>
      <charset val="1"/>
    </font>
    <font>
      <sz val="9"/>
      <color rgb="FF6B7280"/>
      <name val="Calibri"/>
      <charset val="1"/>
    </font>
    <font>
      <sz val="10"/>
      <color rgb="FF065F46"/>
      <name val="Calibri"/>
      <charset val="1"/>
    </font>
    <font>
      <sz val="10"/>
      <color rgb="FF000000"/>
      <name val="Calibri"/>
      <charset val="1"/>
    </font>
    <font>
      <i/>
      <sz val="9"/>
      <color rgb="FF6B7280"/>
      <name val="Calibri"/>
      <charset val="1"/>
    </font>
    <font>
      <i/>
      <sz val="8.5"/>
      <color rgb="FF6B7280"/>
      <name val="Calibri"/>
      <charset val="1"/>
    </font>
    <font>
      <b/>
      <sz val="11"/>
      <color rgb="FF003057"/>
      <name val="Calibri"/>
      <charset val="1"/>
    </font>
    <font>
      <b/>
      <sz val="12"/>
      <color rgb="FF003057"/>
      <name val="Calibri"/>
      <charset val="1"/>
    </font>
    <font>
      <b/>
      <sz val="9"/>
      <color rgb="FF003057"/>
      <name val="Calibri"/>
      <charset val="1"/>
    </font>
    <font>
      <b/>
      <sz val="9.5"/>
      <color rgb="FFFFFFFF"/>
      <name val="Calibri"/>
      <charset val="1"/>
    </font>
    <font>
      <sz val="9.5"/>
      <color rgb="FF374151"/>
      <name val="Calibri"/>
      <charset val="1"/>
    </font>
    <font>
      <sz val="9"/>
      <name val="Calibri"/>
      <charset val="1"/>
    </font>
    <font>
      <b/>
      <sz val="10.5"/>
      <color rgb="FF003057"/>
      <name val="Calibri"/>
      <charset val="1"/>
    </font>
    <font>
      <b/>
      <sz val="10"/>
      <color rgb="FF003057"/>
      <name val="Calibri"/>
      <charset val="1"/>
    </font>
    <font>
      <i/>
      <sz val="9"/>
      <color rgb="FF005F6B"/>
      <name val="Calibri"/>
      <charset val="1"/>
    </font>
    <font>
      <i/>
      <sz val="9.5"/>
      <color rgb="FF005F6B"/>
      <name val="Calibri"/>
      <charset val="1"/>
    </font>
    <font>
      <b/>
      <sz val="22"/>
      <color rgb="FF003057"/>
      <name val="Calibri"/>
      <charset val="1"/>
    </font>
    <font>
      <b/>
      <sz val="14"/>
      <color rgb="FF005F6B"/>
      <name val="Calibri"/>
      <charset val="1"/>
    </font>
    <font>
      <b/>
      <sz val="9"/>
      <color rgb="FF007B8A"/>
      <name val="Calibri"/>
      <charset val="1"/>
    </font>
    <font>
      <i/>
      <sz val="8"/>
      <color rgb="FF9CA3AF"/>
      <name val="Calibri"/>
      <charset val="1"/>
    </font>
    <font>
      <i/>
      <sz val="8"/>
      <color rgb="FF6B7280"/>
      <name val="Calibri"/>
      <charset val="1"/>
    </font>
    <font>
      <i/>
      <sz val="8"/>
      <color rgb="FF888888"/>
      <name val="Calibri"/>
      <charset val="1"/>
    </font>
    <font>
      <sz val="6"/>
      <color rgb="FFFFFFFF"/>
      <name val="Calibri"/>
      <charset val="1"/>
    </font>
    <font>
      <b/>
      <sz val="8.5"/>
      <color rgb="FF003057"/>
      <name val="Calibri"/>
      <charset val="1"/>
    </font>
    <font>
      <sz val="10"/>
      <color rgb="FF005F6B"/>
      <name val="Calibri"/>
      <charset val="1"/>
    </font>
    <font>
      <i/>
      <sz val="8.5"/>
      <color rgb="FF7C3500"/>
      <name val="Calibri"/>
      <charset val="1"/>
    </font>
    <font>
      <sz val="8"/>
      <color rgb="FF6B7280"/>
      <name val="Calibri"/>
      <charset val="1"/>
    </font>
    <font>
      <sz val="9"/>
      <color rgb="FF1D4ED8"/>
      <name val="Calibri"/>
      <charset val="1"/>
    </font>
    <font>
      <b/>
      <sz val="8"/>
      <color rgb="FFFFFFFF"/>
      <name val="Calibri"/>
      <charset val="1"/>
    </font>
    <font>
      <sz val="9"/>
      <color rgb="FF374151"/>
      <name val="Calibri"/>
      <charset val="1"/>
    </font>
    <font>
      <sz val="9"/>
      <color rgb="FF000000"/>
      <name val="Calibri"/>
      <charset val="1"/>
    </font>
    <font>
      <i/>
      <sz val="9.5"/>
      <color rgb="FF6B7280"/>
      <name val="Calibri"/>
      <charset val="1"/>
    </font>
    <font>
      <sz val="10"/>
      <color rgb="FF003057"/>
      <name val="Calibri"/>
      <charset val="1"/>
    </font>
    <font>
      <b/>
      <sz val="8"/>
      <color rgb="FF003057"/>
      <name val="Calibri"/>
      <charset val="1"/>
    </font>
    <font>
      <sz val="8"/>
      <color rgb="FF9CA3AF"/>
      <name val="Calibri"/>
      <charset val="1"/>
    </font>
    <font>
      <sz val="8"/>
      <color rgb="FF374151"/>
      <name val="Calibri"/>
      <charset val="1"/>
    </font>
    <font>
      <sz val="9"/>
      <color rgb="FF003057"/>
      <name val="Calibri"/>
      <charset val="1"/>
    </font>
    <font>
      <b/>
      <sz val="9"/>
      <color rgb="FF6B7280"/>
      <name val="Calibri"/>
      <charset val="1"/>
    </font>
    <font>
      <b/>
      <sz val="9"/>
      <color rgb="FF005F6B"/>
      <name val="Calibri"/>
      <charset val="1"/>
    </font>
    <font>
      <b/>
      <sz val="9"/>
      <color rgb="FF065F46"/>
      <name val="Calibri"/>
      <charset val="1"/>
    </font>
    <font>
      <b/>
      <sz val="13"/>
      <color rgb="FF003057"/>
      <name val="Calibri"/>
      <charset val="1"/>
    </font>
    <font>
      <b/>
      <sz val="13"/>
      <color rgb="FF005F6B"/>
      <name val="Calibri"/>
      <charset val="1"/>
    </font>
    <font>
      <b/>
      <sz val="10"/>
      <color rgb="FF005F6B"/>
      <name val="Calibri"/>
      <charset val="1"/>
    </font>
    <font>
      <b/>
      <sz val="13"/>
      <color rgb="FF065F46"/>
      <name val="Calibri"/>
      <charset val="1"/>
    </font>
    <font>
      <b/>
      <sz val="12"/>
      <color rgb="FF005F6B"/>
      <name val="Calibri"/>
      <charset val="1"/>
    </font>
    <font>
      <b/>
      <sz val="12"/>
      <color rgb="FF065F46"/>
      <name val="Calibri"/>
      <charset val="1"/>
    </font>
    <font>
      <b/>
      <sz val="16"/>
      <color rgb="FF0F766E"/>
      <name val="Calibri"/>
      <charset val="1"/>
    </font>
    <font>
      <b/>
      <sz val="12"/>
      <color rgb="FF0F766E"/>
      <name val="Calibri"/>
      <charset val="1"/>
    </font>
    <font>
      <b/>
      <sz val="16"/>
      <color rgb="FF005F6B"/>
      <name val="Calibri"/>
      <charset val="1"/>
    </font>
    <font>
      <b/>
      <sz val="16"/>
      <color rgb="FF065F46"/>
      <name val="Calibri"/>
      <charset val="1"/>
    </font>
    <font>
      <b/>
      <sz val="8"/>
      <color rgb="FF0F766E"/>
      <name val="Calibri"/>
      <charset val="1"/>
    </font>
    <font>
      <b/>
      <sz val="8"/>
      <color rgb="FF005F6B"/>
      <name val="Calibri"/>
      <charset val="1"/>
    </font>
    <font>
      <b/>
      <sz val="8"/>
      <color rgb="FF065F46"/>
      <name val="Calibri"/>
      <charset val="1"/>
    </font>
    <font>
      <b/>
      <sz val="10"/>
      <color rgb="FF374151"/>
      <name val="Calibri"/>
      <charset val="1"/>
    </font>
    <font>
      <b/>
      <sz val="9.5"/>
      <color rgb="FF003057"/>
      <name val="Calibri"/>
      <charset val="1"/>
    </font>
    <font>
      <sz val="9.5"/>
      <color rgb="FF005F6B"/>
      <name val="Calibri"/>
      <charset val="1"/>
    </font>
    <font>
      <b/>
      <sz val="14"/>
      <color rgb="FFFFFFFF"/>
      <name val="Calibri"/>
      <charset val="1"/>
    </font>
    <font>
      <b/>
      <sz val="11"/>
      <color rgb="FF6B7280"/>
      <name val="Calibri"/>
      <charset val="1"/>
    </font>
    <font>
      <b/>
      <sz val="11"/>
      <color rgb="FF005F6B"/>
      <name val="Calibri"/>
      <charset val="1"/>
    </font>
    <font>
      <b/>
      <sz val="11"/>
      <color rgb="FF065F46"/>
      <name val="Calibri"/>
      <charset val="1"/>
    </font>
    <font>
      <sz val="10"/>
      <color rgb="FF6B7280"/>
      <name val="Calibri"/>
      <charset val="1"/>
    </font>
    <font>
      <b/>
      <sz val="14"/>
      <color rgb="FF003057"/>
      <name val="Calibri"/>
      <charset val="1"/>
    </font>
    <font>
      <b/>
      <sz val="14"/>
      <color rgb="FF0F766E"/>
      <name val="Calibri"/>
      <charset val="1"/>
    </font>
    <font>
      <b/>
      <sz val="14"/>
      <color rgb="FF6B7280"/>
      <name val="Calibri"/>
      <charset val="1"/>
    </font>
    <font>
      <b/>
      <sz val="14"/>
      <color rgb="FF065F46"/>
      <name val="Calibri"/>
      <charset val="1"/>
    </font>
    <font>
      <i/>
      <sz val="7.5"/>
      <color rgb="FF6B7280"/>
      <name val="Calibri"/>
      <charset val="1"/>
    </font>
    <font>
      <i/>
      <sz val="9"/>
      <color rgb="FFA8ECF5"/>
      <name val="Calibri"/>
      <charset val="1"/>
    </font>
    <font>
      <b/>
      <sz val="9"/>
      <color rgb="FF991B1B"/>
      <name val="Calibri"/>
      <charset val="1"/>
    </font>
    <font>
      <b/>
      <sz val="9"/>
      <color rgb="FF92400E"/>
      <name val="Calibri"/>
      <charset val="1"/>
    </font>
    <font>
      <sz val="9"/>
      <color rgb="FFB91C1C"/>
      <name val="Calibri"/>
      <charset val="1"/>
    </font>
    <font>
      <sz val="9"/>
      <color rgb="FF065F46"/>
      <name val="Calibri"/>
      <charset val="1"/>
    </font>
    <font>
      <sz val="8.5"/>
      <color rgb="FF6B7280"/>
      <name val="Calibri"/>
      <charset val="1"/>
    </font>
    <font>
      <b/>
      <sz val="9"/>
      <color rgb="FF1D4ED8"/>
      <name val="Calibri"/>
      <charset val="1"/>
    </font>
    <font>
      <b/>
      <sz val="10"/>
      <color rgb="FF1D4ED8"/>
      <name val="Calibri"/>
      <charset val="1"/>
    </font>
    <font>
      <b/>
      <sz val="9"/>
      <color rgb="FFFFFFFF"/>
      <name val="Segoe UI"/>
    </font>
    <font>
      <b/>
      <sz val="10"/>
      <color rgb="FFFFFFFF"/>
      <name val="Segoe UI"/>
    </font>
    <font>
      <i/>
      <sz val="8.5"/>
      <color rgb="FF005F6B"/>
      <name val="Segoe UI"/>
    </font>
    <font>
      <b/>
      <sz val="11"/>
      <color rgb="FF005F6B"/>
      <name val="Segoe UI"/>
    </font>
    <font>
      <b/>
      <sz val="9"/>
      <color rgb="FF003057"/>
      <name val="Segoe UI"/>
    </font>
    <font>
      <sz val="8.5"/>
      <color rgb="FF1A2330"/>
      <name val="Segoe UI"/>
    </font>
    <font>
      <sz val="8.5"/>
      <color rgb="FF374151"/>
      <name val="Segoe UI"/>
    </font>
    <font>
      <b/>
      <sz val="8"/>
      <color rgb="FF005F6B"/>
      <name val="Segoe UI"/>
    </font>
    <font>
      <i/>
      <sz val="8.5"/>
      <color rgb="FF6B7280"/>
      <name val="Segoe UI"/>
    </font>
    <font>
      <b/>
      <sz val="8"/>
      <color rgb="FF065F46"/>
      <name val="Segoe UI"/>
    </font>
    <font>
      <b/>
      <sz val="8"/>
      <color rgb="FF1E40AF"/>
      <name val="Segoe UI"/>
    </font>
    <font>
      <b/>
      <sz val="8"/>
      <color rgb="FF92400E"/>
      <name val="Segoe UI"/>
    </font>
    <font>
      <b/>
      <sz val="8"/>
      <color rgb="FF9D174D"/>
      <name val="Segoe UI"/>
    </font>
    <font>
      <b/>
      <sz val="8"/>
      <color rgb="FF4C1D95"/>
      <name val="Segoe UI"/>
    </font>
    <font>
      <b/>
      <sz val="8"/>
      <color rgb="FF374151"/>
      <name val="Segoe UI"/>
    </font>
    <font>
      <i/>
      <sz val="7.5"/>
      <color rgb="FF6B7280"/>
      <name val="Segoe UI"/>
    </font>
    <font>
      <i/>
      <sz val="8"/>
      <color rgb="FF374151"/>
      <name val="Segoe UI"/>
    </font>
    <font>
      <i/>
      <sz val="9"/>
      <color rgb="FF005F6B"/>
      <name val="Segoe UI"/>
    </font>
    <font>
      <i/>
      <sz val="7"/>
      <color rgb="FF9CA3AF"/>
      <name val="Segoe UI"/>
    </font>
  </fonts>
  <fills count="47">
    <fill>
      <patternFill patternType="none"/>
    </fill>
    <fill>
      <patternFill patternType="gray125"/>
    </fill>
    <fill>
      <patternFill patternType="solid">
        <fgColor rgb="FF003057"/>
        <bgColor rgb="FF001F3D"/>
      </patternFill>
    </fill>
    <fill>
      <patternFill patternType="solid">
        <fgColor rgb="FF005F6B"/>
        <bgColor rgb="FF065F46"/>
      </patternFill>
    </fill>
    <fill>
      <patternFill patternType="solid">
        <fgColor rgb="FFFFFBEB"/>
        <bgColor rgb="FFFFF8E6"/>
      </patternFill>
    </fill>
    <fill>
      <patternFill patternType="solid">
        <fgColor rgb="FFF3F4F6"/>
        <bgColor rgb="FFEEF6F8"/>
      </patternFill>
    </fill>
    <fill>
      <patternFill patternType="solid">
        <fgColor rgb="FF007B8A"/>
        <bgColor rgb="FF0F766E"/>
      </patternFill>
    </fill>
    <fill>
      <patternFill patternType="solid">
        <fgColor rgb="FFFFFFFF"/>
        <bgColor rgb="FFFAFAFA"/>
      </patternFill>
    </fill>
    <fill>
      <patternFill patternType="solid">
        <fgColor rgb="FFDDE1E7"/>
        <bgColor rgb="FFE5E7EB"/>
      </patternFill>
    </fill>
    <fill>
      <patternFill patternType="solid">
        <fgColor rgb="FFF0F9FA"/>
        <bgColor rgb="FFEEF6F8"/>
      </patternFill>
    </fill>
    <fill>
      <patternFill patternType="solid">
        <fgColor rgb="FFEEF6F8"/>
        <bgColor rgb="FFF0F9FA"/>
      </patternFill>
    </fill>
    <fill>
      <patternFill patternType="solid">
        <fgColor rgb="FF1A3A5C"/>
        <bgColor rgb="FF003057"/>
      </patternFill>
    </fill>
    <fill>
      <patternFill patternType="solid">
        <fgColor rgb="FFFAFAFA"/>
        <bgColor rgb="FFF8F9FA"/>
      </patternFill>
    </fill>
    <fill>
      <patternFill patternType="solid">
        <fgColor rgb="FF2D4A6B"/>
        <bgColor rgb="FF374151"/>
      </patternFill>
    </fill>
    <fill>
      <patternFill patternType="solid">
        <fgColor rgb="FFE5E7EB"/>
        <bgColor rgb="FFDDE1E7"/>
      </patternFill>
    </fill>
    <fill>
      <patternFill patternType="solid">
        <fgColor rgb="FFFFF8E6"/>
        <bgColor rgb="FFFFFBEB"/>
      </patternFill>
    </fill>
    <fill>
      <patternFill patternType="solid">
        <fgColor rgb="FFF8F9FA"/>
        <bgColor rgb="FFFAFAFA"/>
      </patternFill>
    </fill>
    <fill>
      <patternFill patternType="solid">
        <fgColor rgb="FFE8F4F8"/>
        <bgColor rgb="FFEEF6F8"/>
      </patternFill>
    </fill>
    <fill>
      <patternFill patternType="solid">
        <fgColor rgb="FF374151"/>
        <bgColor rgb="FF2D4A6B"/>
      </patternFill>
    </fill>
    <fill>
      <patternFill patternType="solid">
        <fgColor rgb="FFDCFCE7"/>
        <bgColor rgb="FFD1FAE5"/>
      </patternFill>
    </fill>
    <fill>
      <patternFill patternType="solid">
        <fgColor rgb="FFF0FDF4"/>
        <bgColor rgb="FFECFDF5"/>
      </patternFill>
    </fill>
    <fill>
      <patternFill patternType="solid">
        <fgColor rgb="FF001F3D"/>
        <bgColor rgb="FF003057"/>
      </patternFill>
    </fill>
    <fill>
      <patternFill patternType="solid">
        <fgColor rgb="FFECFDF5"/>
        <bgColor rgb="FFF0FDF4"/>
      </patternFill>
    </fill>
    <fill>
      <patternFill patternType="solid">
        <fgColor rgb="FFFEE2E2"/>
        <bgColor rgb="FFE5E7EB"/>
      </patternFill>
    </fill>
    <fill>
      <patternFill patternType="solid">
        <fgColor rgb="FFFEF9C3"/>
        <bgColor rgb="FFFFF8E6"/>
      </patternFill>
    </fill>
    <fill>
      <patternFill patternType="solid">
        <fgColor rgb="FFD1FAE5"/>
        <bgColor rgb="FFDCFCE7"/>
      </patternFill>
    </fill>
    <fill>
      <patternFill patternType="solid">
        <fgColor rgb="FF003057"/>
      </patternFill>
    </fill>
    <fill>
      <patternFill patternType="solid">
        <fgColor rgb="FF005F6B"/>
      </patternFill>
    </fill>
    <fill>
      <patternFill patternType="solid">
        <fgColor rgb="FFE4F0F3"/>
      </patternFill>
    </fill>
    <fill>
      <patternFill patternType="solid">
        <fgColor rgb="FFFFFFFF"/>
      </patternFill>
    </fill>
    <fill>
      <patternFill patternType="solid">
        <fgColor rgb="FFFFFBEB"/>
      </patternFill>
    </fill>
    <fill>
      <patternFill patternType="solid">
        <fgColor rgb="FFF7F8FA"/>
      </patternFill>
    </fill>
    <fill>
      <patternFill patternType="solid">
        <fgColor rgb="FF004D5A"/>
      </patternFill>
    </fill>
    <fill>
      <patternFill patternType="solid">
        <fgColor rgb="FFD1FAE5"/>
      </patternFill>
    </fill>
    <fill>
      <patternFill patternType="solid">
        <fgColor rgb="FFDBEAFE"/>
      </patternFill>
    </fill>
    <fill>
      <patternFill patternType="solid">
        <fgColor rgb="FFFEF3C7"/>
      </patternFill>
    </fill>
    <fill>
      <patternFill patternType="solid">
        <fgColor rgb="FFFCE7F3"/>
      </patternFill>
    </fill>
    <fill>
      <patternFill patternType="solid">
        <fgColor rgb="FFEDE9FE"/>
      </patternFill>
    </fill>
    <fill>
      <patternFill patternType="solid">
        <fgColor rgb="FF1E3A5F"/>
      </patternFill>
    </fill>
    <fill>
      <patternFill patternType="solid">
        <fgColor rgb="FFF3F4F6"/>
      </patternFill>
    </fill>
    <fill>
      <patternFill patternType="solid">
        <fgColor rgb="FFEEF1F4"/>
      </patternFill>
    </fill>
    <fill>
      <patternFill patternType="solid">
        <fgColor rgb="FF003D4A"/>
      </patternFill>
    </fill>
    <fill>
      <patternFill patternType="solid">
        <fgColor rgb="FF374151"/>
      </patternFill>
    </fill>
    <fill>
      <patternFill patternType="solid">
        <fgColor rgb="FFF9FAFB"/>
      </patternFill>
    </fill>
    <fill>
      <patternFill patternType="solid">
        <fgColor rgb="FFE8EEF2"/>
      </patternFill>
    </fill>
    <fill>
      <patternFill patternType="solid">
        <fgColor rgb="FFFFFBEB"/>
      </patternFill>
    </fill>
    <fill>
      <patternFill patternType="solid">
        <fgColor rgb="FFF3F4F6"/>
      </patternFill>
    </fill>
  </fills>
  <borders count="8">
    <border>
      <left/>
      <right/>
      <top/>
      <bottom/>
      <diagonal/>
    </border>
    <border>
      <left style="thin">
        <color rgb="FFF59E0B"/>
      </left>
      <right style="thin">
        <color rgb="FFF59E0B"/>
      </right>
      <top style="thin">
        <color rgb="FFF59E0B"/>
      </top>
      <bottom style="thin">
        <color rgb="FFF59E0B"/>
      </bottom>
      <diagonal/>
    </border>
    <border>
      <left style="thin">
        <color rgb="FFDDE1E7"/>
      </left>
      <right style="thin">
        <color rgb="FFDDE1E7"/>
      </right>
      <top style="thin">
        <color rgb="FFDDE1E7"/>
      </top>
      <bottom style="thin">
        <color rgb="FFDDE1E7"/>
      </bottom>
      <diagonal/>
    </border>
    <border>
      <left/>
      <right style="thin">
        <color rgb="FFF59E0B"/>
      </right>
      <top/>
      <bottom style="thin">
        <color rgb="FFF59E0B"/>
      </bottom>
      <diagonal/>
    </border>
    <border>
      <left style="thin">
        <color rgb="FFDDE1E7"/>
      </left>
      <right/>
      <top style="thin">
        <color rgb="FFDDE1E7"/>
      </top>
      <bottom style="thin">
        <color rgb="FFDDE1E7"/>
      </bottom>
      <diagonal/>
    </border>
    <border>
      <left/>
      <right/>
      <top/>
      <bottom style="thin">
        <color rgb="FFDDE1E7"/>
      </bottom>
      <diagonal/>
    </border>
    <border>
      <left/>
      <right/>
      <top style="thin">
        <color rgb="FFDDE1E7"/>
      </top>
      <bottom style="thin">
        <color rgb="FFDDE1E7"/>
      </bottom>
      <diagonal/>
    </border>
    <border>
      <left style="thin">
        <color rgb="FFDDE1E7"/>
      </left>
      <right style="thin">
        <color rgb="FFDDE1E7"/>
      </right>
      <top style="thin">
        <color rgb="FFDDE1E7"/>
      </top>
      <bottom style="thin">
        <color rgb="FFDDE1E7"/>
      </bottom>
      <diagonal/>
    </border>
  </borders>
  <cellStyleXfs count="1">
    <xf numFmtId="0" fontId="0" fillId="0" borderId="0"/>
  </cellStyleXfs>
  <cellXfs count="297">
    <xf numFmtId="0" fontId="0" fillId="0" borderId="0" xfId="0"/>
    <xf numFmtId="0" fontId="7" fillId="11" borderId="0" xfId="0" applyFont="1" applyFill="1" applyAlignment="1">
      <alignment horizontal="left" vertical="center" indent="1"/>
    </xf>
    <xf numFmtId="0" fontId="7" fillId="2" borderId="0" xfId="0" applyFont="1" applyFill="1" applyAlignment="1">
      <alignment horizontal="left" vertical="center" indent="1"/>
    </xf>
    <xf numFmtId="0" fontId="3" fillId="0" borderId="0" xfId="0" applyFont="1" applyAlignment="1">
      <alignment horizontal="left" vertical="center"/>
    </xf>
    <xf numFmtId="0" fontId="4" fillId="4" borderId="1" xfId="0" applyFont="1" applyFill="1" applyBorder="1" applyAlignment="1">
      <alignment horizontal="center" vertical="center"/>
    </xf>
    <xf numFmtId="0" fontId="5" fillId="5" borderId="2" xfId="0" applyFont="1" applyFill="1" applyBorder="1" applyAlignment="1">
      <alignment horizontal="center" vertical="center"/>
    </xf>
    <xf numFmtId="0" fontId="6" fillId="0" borderId="0" xfId="0" applyFont="1" applyAlignment="1">
      <alignment horizontal="left" vertical="center"/>
    </xf>
    <xf numFmtId="0" fontId="8" fillId="7" borderId="0" xfId="0" applyFont="1" applyFill="1" applyAlignment="1">
      <alignment horizontal="left" vertical="center"/>
    </xf>
    <xf numFmtId="3" fontId="9" fillId="4" borderId="1" xfId="0" applyNumberFormat="1" applyFont="1" applyFill="1" applyBorder="1" applyAlignment="1">
      <alignment horizontal="right" vertical="center"/>
    </xf>
    <xf numFmtId="0" fontId="10" fillId="7" borderId="0" xfId="0" applyFont="1" applyFill="1" applyAlignment="1">
      <alignment horizontal="left" vertical="center"/>
    </xf>
    <xf numFmtId="0" fontId="2" fillId="2" borderId="0" xfId="0" applyFont="1" applyFill="1" applyAlignment="1">
      <alignment horizontal="left" vertical="center" indent="1"/>
    </xf>
    <xf numFmtId="0" fontId="2" fillId="2" borderId="0" xfId="0" applyFont="1" applyFill="1" applyAlignment="1">
      <alignment horizontal="left" vertical="center"/>
    </xf>
    <xf numFmtId="0" fontId="2" fillId="2" borderId="0" xfId="0" applyFont="1" applyFill="1" applyAlignment="1">
      <alignment horizontal="right" vertical="center"/>
    </xf>
    <xf numFmtId="0" fontId="8" fillId="7" borderId="0" xfId="0" applyFont="1" applyFill="1" applyAlignment="1">
      <alignment horizontal="left" vertical="center" indent="1"/>
    </xf>
    <xf numFmtId="164" fontId="11" fillId="0" borderId="0" xfId="0" applyNumberFormat="1" applyFont="1" applyAlignment="1">
      <alignment horizontal="right" vertical="center"/>
    </xf>
    <xf numFmtId="9" fontId="10" fillId="0" borderId="0" xfId="0" applyNumberFormat="1" applyFont="1" applyAlignment="1">
      <alignment horizontal="right" vertical="center"/>
    </xf>
    <xf numFmtId="3" fontId="12" fillId="0" borderId="0" xfId="0" applyNumberFormat="1" applyFont="1" applyAlignment="1">
      <alignment horizontal="right" vertical="center"/>
    </xf>
    <xf numFmtId="0" fontId="13" fillId="7" borderId="0" xfId="0" applyFont="1" applyFill="1" applyAlignment="1">
      <alignment horizontal="left" vertical="center"/>
    </xf>
    <xf numFmtId="165" fontId="9" fillId="4" borderId="1" xfId="0" applyNumberFormat="1" applyFont="1" applyFill="1" applyBorder="1" applyAlignment="1">
      <alignment horizontal="right" vertical="center"/>
    </xf>
    <xf numFmtId="0" fontId="14" fillId="7" borderId="0" xfId="0" applyFont="1" applyFill="1" applyAlignment="1">
      <alignment horizontal="left" vertical="center"/>
    </xf>
    <xf numFmtId="0" fontId="15" fillId="8" borderId="0" xfId="0" applyFont="1" applyFill="1" applyAlignment="1">
      <alignment horizontal="left" vertical="center"/>
    </xf>
    <xf numFmtId="164" fontId="16" fillId="8" borderId="0" xfId="0" applyNumberFormat="1" applyFont="1" applyFill="1" applyAlignment="1">
      <alignment horizontal="right" vertical="center"/>
    </xf>
    <xf numFmtId="0" fontId="17" fillId="8" borderId="0" xfId="0" applyFont="1" applyFill="1" applyAlignment="1">
      <alignment horizontal="right" vertical="center"/>
    </xf>
    <xf numFmtId="164" fontId="12" fillId="5" borderId="0" xfId="0" applyNumberFormat="1" applyFont="1" applyFill="1" applyAlignment="1">
      <alignment horizontal="right" vertical="center"/>
    </xf>
    <xf numFmtId="164" fontId="9" fillId="4" borderId="1" xfId="0" applyNumberFormat="1" applyFont="1" applyFill="1" applyBorder="1" applyAlignment="1">
      <alignment horizontal="right" vertical="center"/>
    </xf>
    <xf numFmtId="0" fontId="19" fillId="7" borderId="0" xfId="0" applyFont="1" applyFill="1" applyAlignment="1">
      <alignment horizontal="left" vertical="center" indent="1"/>
    </xf>
    <xf numFmtId="164" fontId="12" fillId="0" borderId="0" xfId="0" applyNumberFormat="1" applyFont="1" applyAlignment="1">
      <alignment horizontal="right" vertical="center"/>
    </xf>
    <xf numFmtId="9" fontId="20" fillId="7" borderId="0" xfId="0" applyNumberFormat="1" applyFont="1" applyFill="1" applyAlignment="1">
      <alignment horizontal="right" vertical="center"/>
    </xf>
    <xf numFmtId="0" fontId="21" fillId="8" borderId="0" xfId="0" applyFont="1" applyFill="1" applyAlignment="1">
      <alignment horizontal="left" vertical="center"/>
    </xf>
    <xf numFmtId="164" fontId="15" fillId="8" borderId="0" xfId="0" applyNumberFormat="1" applyFont="1" applyFill="1" applyAlignment="1">
      <alignment horizontal="right" vertical="center"/>
    </xf>
    <xf numFmtId="166" fontId="22" fillId="8" borderId="0" xfId="0" applyNumberFormat="1" applyFont="1" applyFill="1" applyAlignment="1">
      <alignment horizontal="right" vertical="center"/>
    </xf>
    <xf numFmtId="0" fontId="23" fillId="8" borderId="0" xfId="0" applyFont="1" applyFill="1" applyAlignment="1">
      <alignment horizontal="left" vertical="center"/>
    </xf>
    <xf numFmtId="0" fontId="17" fillId="5" borderId="0" xfId="0" applyFont="1" applyFill="1" applyAlignment="1">
      <alignment horizontal="left" vertical="center" indent="1"/>
    </xf>
    <xf numFmtId="0" fontId="17" fillId="5" borderId="0" xfId="0" applyFont="1" applyFill="1" applyAlignment="1">
      <alignment horizontal="center" vertical="center"/>
    </xf>
    <xf numFmtId="9" fontId="17" fillId="8" borderId="0" xfId="0" applyNumberFormat="1" applyFont="1" applyFill="1" applyAlignment="1">
      <alignment horizontal="right" vertical="center"/>
    </xf>
    <xf numFmtId="0" fontId="24" fillId="9" borderId="3" xfId="0" applyFont="1" applyFill="1" applyBorder="1" applyAlignment="1">
      <alignment horizontal="left" vertical="center"/>
    </xf>
    <xf numFmtId="166" fontId="26" fillId="10" borderId="2" xfId="0" applyNumberFormat="1" applyFont="1" applyFill="1" applyBorder="1" applyAlignment="1">
      <alignment horizontal="center" vertical="center"/>
    </xf>
    <xf numFmtId="0" fontId="28" fillId="0" borderId="0" xfId="0" applyFont="1"/>
    <xf numFmtId="164" fontId="15" fillId="0" borderId="0" xfId="0" applyNumberFormat="1" applyFont="1" applyAlignment="1">
      <alignment horizontal="right" vertical="center"/>
    </xf>
    <xf numFmtId="0" fontId="28" fillId="7" borderId="0" xfId="0" applyFont="1" applyFill="1" applyAlignment="1">
      <alignment horizontal="left" vertical="center"/>
    </xf>
    <xf numFmtId="0" fontId="22" fillId="8" borderId="0" xfId="0" applyFont="1" applyFill="1" applyAlignment="1">
      <alignment horizontal="left" vertical="center"/>
    </xf>
    <xf numFmtId="3" fontId="22" fillId="8" borderId="0" xfId="0" applyNumberFormat="1" applyFont="1" applyFill="1" applyAlignment="1">
      <alignment horizontal="right" vertical="center"/>
    </xf>
    <xf numFmtId="0" fontId="10" fillId="8" borderId="0" xfId="0" applyFont="1" applyFill="1" applyAlignment="1">
      <alignment horizontal="left" vertical="center"/>
    </xf>
    <xf numFmtId="0" fontId="29" fillId="7" borderId="0" xfId="0" applyFont="1" applyFill="1" applyAlignment="1">
      <alignment horizontal="left" vertical="center"/>
    </xf>
    <xf numFmtId="164" fontId="22" fillId="8" borderId="0" xfId="0" applyNumberFormat="1" applyFont="1" applyFill="1" applyAlignment="1">
      <alignment horizontal="right" vertical="center"/>
    </xf>
    <xf numFmtId="0" fontId="13" fillId="8" borderId="0" xfId="0" applyFont="1" applyFill="1" applyAlignment="1">
      <alignment horizontal="left" vertical="center"/>
    </xf>
    <xf numFmtId="166" fontId="15" fillId="0" borderId="0" xfId="0" applyNumberFormat="1" applyFont="1" applyAlignment="1">
      <alignment horizontal="right" vertical="center"/>
    </xf>
    <xf numFmtId="9" fontId="15" fillId="0" borderId="0" xfId="0" applyNumberFormat="1" applyFont="1" applyAlignment="1">
      <alignment horizontal="right" vertical="center"/>
    </xf>
    <xf numFmtId="0" fontId="30" fillId="7" borderId="0" xfId="0" applyFont="1" applyFill="1" applyAlignment="1">
      <alignment horizontal="left" vertical="center" indent="1"/>
    </xf>
    <xf numFmtId="0" fontId="0" fillId="12" borderId="0" xfId="0" applyFill="1"/>
    <xf numFmtId="0" fontId="31" fillId="12" borderId="0" xfId="0" applyFont="1" applyFill="1"/>
    <xf numFmtId="164" fontId="31" fillId="12" borderId="0" xfId="0" applyNumberFormat="1" applyFont="1" applyFill="1"/>
    <xf numFmtId="0" fontId="0" fillId="8" borderId="0" xfId="0" applyFill="1"/>
    <xf numFmtId="9" fontId="9" fillId="4" borderId="1" xfId="0" applyNumberFormat="1" applyFont="1" applyFill="1" applyBorder="1" applyAlignment="1">
      <alignment horizontal="right" vertical="center"/>
    </xf>
    <xf numFmtId="0" fontId="28" fillId="7" borderId="0" xfId="0" applyFont="1" applyFill="1" applyAlignment="1">
      <alignment horizontal="left" vertical="center" indent="1"/>
    </xf>
    <xf numFmtId="0" fontId="31" fillId="7" borderId="0" xfId="0" applyFont="1" applyFill="1"/>
    <xf numFmtId="0" fontId="0" fillId="7" borderId="0" xfId="0" applyFill="1"/>
    <xf numFmtId="0" fontId="32" fillId="14" borderId="0" xfId="0" applyFont="1" applyFill="1" applyAlignment="1">
      <alignment horizontal="left" vertical="center" indent="1"/>
    </xf>
    <xf numFmtId="0" fontId="32" fillId="14" borderId="0" xfId="0" applyFont="1" applyFill="1" applyAlignment="1">
      <alignment horizontal="right" vertical="center"/>
    </xf>
    <xf numFmtId="0" fontId="31" fillId="7" borderId="0" xfId="0" applyFont="1" applyFill="1" applyAlignment="1">
      <alignment horizontal="right" vertical="center"/>
    </xf>
    <xf numFmtId="0" fontId="19" fillId="7" borderId="0" xfId="0" applyFont="1" applyFill="1" applyAlignment="1">
      <alignment horizontal="left" vertical="center" indent="2"/>
    </xf>
    <xf numFmtId="164" fontId="8" fillId="7" borderId="0" xfId="0" applyNumberFormat="1" applyFont="1" applyFill="1" applyAlignment="1">
      <alignment horizontal="right" vertical="center"/>
    </xf>
    <xf numFmtId="164" fontId="33" fillId="7" borderId="0" xfId="0" applyNumberFormat="1" applyFont="1" applyFill="1" applyAlignment="1">
      <alignment horizontal="right" vertical="center"/>
    </xf>
    <xf numFmtId="166" fontId="31" fillId="7" borderId="0" xfId="0" applyNumberFormat="1" applyFont="1" applyFill="1" applyAlignment="1">
      <alignment horizontal="right" vertical="center"/>
    </xf>
    <xf numFmtId="0" fontId="13" fillId="7" borderId="0" xfId="0" applyFont="1" applyFill="1" applyAlignment="1">
      <alignment horizontal="right" vertical="center"/>
    </xf>
    <xf numFmtId="0" fontId="31" fillId="7" borderId="0" xfId="0" applyFont="1" applyFill="1" applyAlignment="1">
      <alignment horizontal="left" vertical="center" indent="1"/>
    </xf>
    <xf numFmtId="0" fontId="35" fillId="0" borderId="0" xfId="0" applyFont="1" applyAlignment="1">
      <alignment horizontal="center" vertical="center"/>
    </xf>
    <xf numFmtId="0" fontId="7" fillId="3" borderId="0" xfId="0" applyFont="1" applyFill="1" applyAlignment="1">
      <alignment horizontal="left" vertical="center" indent="1"/>
    </xf>
    <xf numFmtId="164" fontId="36" fillId="4" borderId="1" xfId="0" applyNumberFormat="1" applyFont="1" applyFill="1" applyBorder="1" applyAlignment="1">
      <alignment horizontal="right" vertical="center"/>
    </xf>
    <xf numFmtId="9" fontId="36" fillId="4" borderId="1" xfId="0" applyNumberFormat="1" applyFont="1" applyFill="1" applyBorder="1" applyAlignment="1">
      <alignment horizontal="right" vertical="center"/>
    </xf>
    <xf numFmtId="0" fontId="2" fillId="3" borderId="0" xfId="0" applyFont="1" applyFill="1" applyAlignment="1">
      <alignment horizontal="left" vertical="center"/>
    </xf>
    <xf numFmtId="0" fontId="37" fillId="18" borderId="0" xfId="0" applyFont="1" applyFill="1" applyAlignment="1">
      <alignment horizontal="left" vertical="center" wrapText="1"/>
    </xf>
    <xf numFmtId="0" fontId="37" fillId="18" borderId="0" xfId="0" applyFont="1" applyFill="1" applyAlignment="1">
      <alignment horizontal="right" vertical="center"/>
    </xf>
    <xf numFmtId="0" fontId="37" fillId="18" borderId="0" xfId="0" applyFont="1" applyFill="1" applyAlignment="1">
      <alignment horizontal="center" vertical="center"/>
    </xf>
    <xf numFmtId="0" fontId="38" fillId="0" borderId="0" xfId="0" applyFont="1" applyAlignment="1">
      <alignment horizontal="left" vertical="center"/>
    </xf>
    <xf numFmtId="3" fontId="39" fillId="0" borderId="0" xfId="0" applyNumberFormat="1" applyFont="1" applyAlignment="1">
      <alignment horizontal="right" vertical="center"/>
    </xf>
    <xf numFmtId="164" fontId="39" fillId="0" borderId="0" xfId="0" applyNumberFormat="1" applyFont="1" applyAlignment="1">
      <alignment horizontal="right" vertical="center"/>
    </xf>
    <xf numFmtId="0" fontId="37" fillId="18" borderId="0" xfId="0" applyFont="1" applyFill="1" applyAlignment="1">
      <alignment horizontal="left" vertical="center"/>
    </xf>
    <xf numFmtId="0" fontId="38" fillId="7" borderId="0" xfId="0" applyFont="1" applyFill="1" applyAlignment="1">
      <alignment horizontal="left" vertical="center" indent="1"/>
    </xf>
    <xf numFmtId="0" fontId="12" fillId="0" borderId="0" xfId="0" applyFont="1"/>
    <xf numFmtId="164" fontId="0" fillId="0" borderId="0" xfId="0" applyNumberFormat="1"/>
    <xf numFmtId="9" fontId="0" fillId="0" borderId="0" xfId="0" applyNumberFormat="1"/>
    <xf numFmtId="164" fontId="39" fillId="0" borderId="0" xfId="0" applyNumberFormat="1" applyFont="1"/>
    <xf numFmtId="164" fontId="7" fillId="8" borderId="0" xfId="0" applyNumberFormat="1" applyFont="1" applyFill="1" applyAlignment="1">
      <alignment horizontal="right" vertical="center"/>
    </xf>
    <xf numFmtId="9" fontId="39" fillId="8" borderId="0" xfId="0" applyNumberFormat="1" applyFont="1" applyFill="1" applyAlignment="1">
      <alignment horizontal="right" vertical="center"/>
    </xf>
    <xf numFmtId="164" fontId="39" fillId="8" borderId="0" xfId="0" applyNumberFormat="1" applyFont="1" applyFill="1" applyAlignment="1">
      <alignment horizontal="right" vertical="center"/>
    </xf>
    <xf numFmtId="0" fontId="40" fillId="0" borderId="0" xfId="0" applyFont="1" applyAlignment="1">
      <alignment horizontal="left" vertical="center" indent="1"/>
    </xf>
    <xf numFmtId="164" fontId="41" fillId="0" borderId="0" xfId="0" applyNumberFormat="1" applyFont="1" applyAlignment="1">
      <alignment horizontal="right" vertical="center"/>
    </xf>
    <xf numFmtId="0" fontId="42" fillId="0" borderId="0" xfId="0" applyFont="1" applyAlignment="1">
      <alignment horizontal="right" vertical="center"/>
    </xf>
    <xf numFmtId="0" fontId="35" fillId="0" borderId="0" xfId="0" applyFont="1" applyAlignment="1">
      <alignment horizontal="right" vertical="center"/>
    </xf>
    <xf numFmtId="0" fontId="43" fillId="0" borderId="0" xfId="0" applyFont="1" applyAlignment="1">
      <alignment horizontal="right" vertical="center"/>
    </xf>
    <xf numFmtId="164" fontId="44" fillId="0" borderId="0" xfId="0" applyNumberFormat="1" applyFont="1" applyAlignment="1">
      <alignment horizontal="right" vertical="center"/>
    </xf>
    <xf numFmtId="0" fontId="43" fillId="0" borderId="0" xfId="0" applyFont="1"/>
    <xf numFmtId="164" fontId="43" fillId="0" borderId="0" xfId="0" applyNumberFormat="1" applyFont="1"/>
    <xf numFmtId="0" fontId="0" fillId="0" borderId="0" xfId="0" applyAlignment="1">
      <alignment horizontal="left" vertical="center"/>
    </xf>
    <xf numFmtId="0" fontId="45" fillId="17" borderId="0" xfId="0" applyFont="1" applyFill="1" applyAlignment="1">
      <alignment horizontal="left" vertical="center"/>
    </xf>
    <xf numFmtId="0" fontId="17" fillId="5" borderId="0" xfId="0" applyFont="1" applyFill="1" applyAlignment="1">
      <alignment horizontal="left" vertical="center" wrapText="1" indent="1"/>
    </xf>
    <xf numFmtId="0" fontId="17" fillId="5" borderId="0" xfId="0" applyFont="1" applyFill="1" applyAlignment="1">
      <alignment horizontal="center" vertical="center" wrapText="1"/>
    </xf>
    <xf numFmtId="0" fontId="46" fillId="5" borderId="0" xfId="0" applyFont="1" applyFill="1" applyAlignment="1">
      <alignment horizontal="center" vertical="center" wrapText="1"/>
    </xf>
    <xf numFmtId="0" fontId="47" fillId="10" borderId="0" xfId="0" applyFont="1" applyFill="1" applyAlignment="1">
      <alignment horizontal="center" vertical="center" wrapText="1"/>
    </xf>
    <xf numFmtId="0" fontId="46" fillId="10" borderId="0" xfId="0" applyFont="1" applyFill="1" applyAlignment="1">
      <alignment horizontal="center" vertical="center" wrapText="1"/>
    </xf>
    <xf numFmtId="0" fontId="48" fillId="19" borderId="0" xfId="0" applyFont="1" applyFill="1" applyAlignment="1">
      <alignment horizontal="center" vertical="center" wrapText="1"/>
    </xf>
    <xf numFmtId="164" fontId="12" fillId="7" borderId="0" xfId="0" applyNumberFormat="1" applyFont="1" applyFill="1" applyAlignment="1">
      <alignment horizontal="right" vertical="center"/>
    </xf>
    <xf numFmtId="9" fontId="10" fillId="7" borderId="0" xfId="0" applyNumberFormat="1" applyFont="1" applyFill="1" applyAlignment="1">
      <alignment horizontal="right" vertical="center"/>
    </xf>
    <xf numFmtId="164" fontId="12" fillId="9" borderId="0" xfId="0" applyNumberFormat="1" applyFont="1" applyFill="1" applyAlignment="1">
      <alignment horizontal="right" vertical="center"/>
    </xf>
    <xf numFmtId="9" fontId="10" fillId="9" borderId="0" xfId="0" applyNumberFormat="1" applyFont="1" applyFill="1" applyAlignment="1">
      <alignment horizontal="right" vertical="center"/>
    </xf>
    <xf numFmtId="167" fontId="11" fillId="20" borderId="0" xfId="0" applyNumberFormat="1" applyFont="1" applyFill="1" applyAlignment="1">
      <alignment horizontal="right" vertical="center"/>
    </xf>
    <xf numFmtId="0" fontId="14" fillId="0" borderId="0" xfId="0" applyFont="1" applyAlignment="1">
      <alignment horizontal="left" vertical="center" wrapText="1"/>
    </xf>
    <xf numFmtId="164" fontId="12" fillId="10" borderId="0" xfId="0" applyNumberFormat="1" applyFont="1" applyFill="1" applyAlignment="1">
      <alignment horizontal="right" vertical="center"/>
    </xf>
    <xf numFmtId="9" fontId="10" fillId="10" borderId="0" xfId="0" applyNumberFormat="1" applyFont="1" applyFill="1" applyAlignment="1">
      <alignment horizontal="right" vertical="center"/>
    </xf>
    <xf numFmtId="0" fontId="16" fillId="8" borderId="0" xfId="0" applyFont="1" applyFill="1" applyAlignment="1">
      <alignment horizontal="left" vertical="center"/>
    </xf>
    <xf numFmtId="164" fontId="49" fillId="8" borderId="0" xfId="0" applyNumberFormat="1" applyFont="1" applyFill="1" applyAlignment="1">
      <alignment horizontal="right" vertical="center"/>
    </xf>
    <xf numFmtId="164" fontId="50" fillId="8" borderId="0" xfId="0" applyNumberFormat="1" applyFont="1" applyFill="1" applyAlignment="1">
      <alignment horizontal="right" vertical="center"/>
    </xf>
    <xf numFmtId="166" fontId="51" fillId="8" borderId="0" xfId="0" applyNumberFormat="1" applyFont="1" applyFill="1" applyAlignment="1">
      <alignment horizontal="right" vertical="center"/>
    </xf>
    <xf numFmtId="167" fontId="52" fillId="8" borderId="0" xfId="0" applyNumberFormat="1" applyFont="1" applyFill="1" applyAlignment="1">
      <alignment horizontal="right" vertical="center"/>
    </xf>
    <xf numFmtId="0" fontId="28" fillId="0" borderId="0" xfId="0" applyFont="1" applyAlignment="1">
      <alignment horizontal="left" vertical="center" wrapText="1"/>
    </xf>
    <xf numFmtId="164" fontId="53" fillId="8" borderId="0" xfId="0" applyNumberFormat="1" applyFont="1" applyFill="1" applyAlignment="1">
      <alignment horizontal="right" vertical="center"/>
    </xf>
    <xf numFmtId="167" fontId="54" fillId="8" borderId="0" xfId="0" applyNumberFormat="1" applyFont="1" applyFill="1" applyAlignment="1">
      <alignment horizontal="right" vertical="center"/>
    </xf>
    <xf numFmtId="9" fontId="22" fillId="8" borderId="0" xfId="0" applyNumberFormat="1" applyFont="1" applyFill="1" applyAlignment="1">
      <alignment horizontal="right" vertical="center"/>
    </xf>
    <xf numFmtId="9" fontId="51" fillId="8" borderId="0" xfId="0" applyNumberFormat="1" applyFont="1" applyFill="1" applyAlignment="1">
      <alignment horizontal="right" vertical="center"/>
    </xf>
    <xf numFmtId="164" fontId="55" fillId="22" borderId="0" xfId="0" applyNumberFormat="1" applyFont="1" applyFill="1" applyAlignment="1">
      <alignment horizontal="right" vertical="center"/>
    </xf>
    <xf numFmtId="166" fontId="56" fillId="22" borderId="0" xfId="0" applyNumberFormat="1" applyFont="1" applyFill="1" applyAlignment="1">
      <alignment horizontal="right" vertical="center"/>
    </xf>
    <xf numFmtId="164" fontId="57" fillId="10" borderId="0" xfId="0" applyNumberFormat="1" applyFont="1" applyFill="1" applyAlignment="1">
      <alignment horizontal="right" vertical="center"/>
    </xf>
    <xf numFmtId="166" fontId="53" fillId="10" borderId="0" xfId="0" applyNumberFormat="1" applyFont="1" applyFill="1" applyAlignment="1">
      <alignment horizontal="right" vertical="center"/>
    </xf>
    <xf numFmtId="167" fontId="58" fillId="19" borderId="0" xfId="0" applyNumberFormat="1" applyFont="1" applyFill="1" applyAlignment="1">
      <alignment horizontal="right" vertical="center"/>
    </xf>
    <xf numFmtId="0" fontId="59" fillId="22" borderId="0" xfId="0" applyFont="1" applyFill="1" applyAlignment="1">
      <alignment horizontal="right" vertical="top"/>
    </xf>
    <xf numFmtId="0" fontId="60" fillId="10" borderId="0" xfId="0" applyFont="1" applyFill="1" applyAlignment="1">
      <alignment horizontal="right" vertical="top"/>
    </xf>
    <xf numFmtId="0" fontId="61" fillId="19" borderId="0" xfId="0" applyFont="1" applyFill="1" applyAlignment="1">
      <alignment horizontal="right" vertical="top"/>
    </xf>
    <xf numFmtId="0" fontId="17" fillId="10" borderId="0" xfId="0" applyFont="1" applyFill="1" applyAlignment="1">
      <alignment horizontal="center" vertical="center"/>
    </xf>
    <xf numFmtId="164" fontId="62" fillId="0" borderId="0" xfId="0" applyNumberFormat="1" applyFont="1" applyAlignment="1">
      <alignment horizontal="right" vertical="center"/>
    </xf>
    <xf numFmtId="164" fontId="51" fillId="0" borderId="0" xfId="0" applyNumberFormat="1" applyFont="1" applyAlignment="1">
      <alignment horizontal="right" vertical="center"/>
    </xf>
    <xf numFmtId="0" fontId="63" fillId="0" borderId="0" xfId="0" applyFont="1" applyAlignment="1">
      <alignment horizontal="right" vertical="center"/>
    </xf>
    <xf numFmtId="0" fontId="14" fillId="0" borderId="0" xfId="0" applyFont="1" applyAlignment="1">
      <alignment horizontal="left" vertical="center"/>
    </xf>
    <xf numFmtId="166" fontId="62" fillId="0" borderId="0" xfId="0" applyNumberFormat="1" applyFont="1" applyAlignment="1">
      <alignment horizontal="right" vertical="center"/>
    </xf>
    <xf numFmtId="166" fontId="51" fillId="0" borderId="0" xfId="0" applyNumberFormat="1" applyFont="1" applyAlignment="1">
      <alignment horizontal="right" vertical="center"/>
    </xf>
    <xf numFmtId="9" fontId="62" fillId="0" borderId="0" xfId="0" applyNumberFormat="1" applyFont="1" applyAlignment="1">
      <alignment horizontal="right" vertical="center"/>
    </xf>
    <xf numFmtId="9" fontId="51" fillId="0" borderId="0" xfId="0" applyNumberFormat="1" applyFont="1" applyAlignment="1">
      <alignment horizontal="right" vertical="center"/>
    </xf>
    <xf numFmtId="9" fontId="64" fillId="0" borderId="0" xfId="0" applyNumberFormat="1" applyFont="1" applyAlignment="1">
      <alignment horizontal="right" vertical="center"/>
    </xf>
    <xf numFmtId="0" fontId="28" fillId="0" borderId="0" xfId="0" applyFont="1" applyAlignment="1">
      <alignment horizontal="left" vertical="center"/>
    </xf>
    <xf numFmtId="9" fontId="64" fillId="8" borderId="0" xfId="0" applyNumberFormat="1" applyFont="1" applyFill="1" applyAlignment="1">
      <alignment horizontal="right" vertical="center"/>
    </xf>
    <xf numFmtId="0" fontId="31" fillId="0" borderId="0" xfId="0" applyFont="1"/>
    <xf numFmtId="164" fontId="31" fillId="0" borderId="0" xfId="0" applyNumberFormat="1" applyFont="1"/>
    <xf numFmtId="3" fontId="49" fillId="16" borderId="5" xfId="0" applyNumberFormat="1" applyFont="1" applyFill="1" applyBorder="1" applyAlignment="1">
      <alignment horizontal="center" vertical="center"/>
    </xf>
    <xf numFmtId="164" fontId="49" fillId="16" borderId="5" xfId="0" applyNumberFormat="1" applyFont="1" applyFill="1" applyBorder="1" applyAlignment="1">
      <alignment horizontal="center" vertical="center"/>
    </xf>
    <xf numFmtId="0" fontId="0" fillId="16" borderId="0" xfId="0" applyFill="1"/>
    <xf numFmtId="0" fontId="3" fillId="0" borderId="0" xfId="0" applyFont="1" applyAlignment="1">
      <alignment horizontal="center" vertical="center"/>
    </xf>
    <xf numFmtId="0" fontId="46" fillId="5" borderId="0" xfId="0" applyFont="1" applyFill="1" applyAlignment="1">
      <alignment horizontal="center" vertical="center"/>
    </xf>
    <xf numFmtId="0" fontId="47" fillId="10" borderId="0" xfId="0" applyFont="1" applyFill="1" applyAlignment="1">
      <alignment horizontal="center" vertical="center"/>
    </xf>
    <xf numFmtId="0" fontId="46" fillId="10" borderId="0" xfId="0" applyFont="1" applyFill="1" applyAlignment="1">
      <alignment horizontal="center" vertical="center"/>
    </xf>
    <xf numFmtId="0" fontId="48" fillId="19" borderId="0" xfId="0" applyFont="1" applyFill="1" applyAlignment="1">
      <alignment horizontal="center" vertical="center"/>
    </xf>
    <xf numFmtId="166" fontId="66" fillId="8" borderId="0" xfId="0" applyNumberFormat="1" applyFont="1" applyFill="1" applyAlignment="1">
      <alignment horizontal="right" vertical="center"/>
    </xf>
    <xf numFmtId="164" fontId="67" fillId="8" borderId="0" xfId="0" applyNumberFormat="1" applyFont="1" applyFill="1" applyAlignment="1">
      <alignment horizontal="right" vertical="center"/>
    </xf>
    <xf numFmtId="166" fontId="67" fillId="8" borderId="0" xfId="0" applyNumberFormat="1" applyFont="1" applyFill="1" applyAlignment="1">
      <alignment horizontal="right" vertical="center"/>
    </xf>
    <xf numFmtId="167" fontId="68" fillId="8" borderId="0" xfId="0" applyNumberFormat="1" applyFont="1" applyFill="1" applyAlignment="1">
      <alignment horizontal="right" vertical="center"/>
    </xf>
    <xf numFmtId="166" fontId="69" fillId="7" borderId="0" xfId="0" applyNumberFormat="1" applyFont="1" applyFill="1" applyAlignment="1">
      <alignment horizontal="right" vertical="center"/>
    </xf>
    <xf numFmtId="164" fontId="33" fillId="9" borderId="0" xfId="0" applyNumberFormat="1" applyFont="1" applyFill="1" applyAlignment="1">
      <alignment horizontal="right" vertical="center"/>
    </xf>
    <xf numFmtId="166" fontId="69" fillId="9" borderId="0" xfId="0" applyNumberFormat="1" applyFont="1" applyFill="1" applyAlignment="1">
      <alignment horizontal="right" vertical="center"/>
    </xf>
    <xf numFmtId="167" fontId="11" fillId="7" borderId="0" xfId="0" applyNumberFormat="1" applyFont="1" applyFill="1" applyAlignment="1">
      <alignment horizontal="right" vertical="center"/>
    </xf>
    <xf numFmtId="0" fontId="70" fillId="22" borderId="0" xfId="0" applyFont="1" applyFill="1" applyAlignment="1">
      <alignment horizontal="left" vertical="center"/>
    </xf>
    <xf numFmtId="164" fontId="71" fillId="22" borderId="0" xfId="0" applyNumberFormat="1" applyFont="1" applyFill="1" applyAlignment="1">
      <alignment horizontal="right" vertical="center"/>
    </xf>
    <xf numFmtId="166" fontId="72" fillId="22" borderId="0" xfId="0" applyNumberFormat="1" applyFont="1" applyFill="1" applyAlignment="1">
      <alignment horizontal="right" vertical="center"/>
    </xf>
    <xf numFmtId="164" fontId="26" fillId="10" borderId="0" xfId="0" applyNumberFormat="1" applyFont="1" applyFill="1" applyAlignment="1">
      <alignment horizontal="right" vertical="center"/>
    </xf>
    <xf numFmtId="166" fontId="26" fillId="10" borderId="0" xfId="0" applyNumberFormat="1" applyFont="1" applyFill="1" applyAlignment="1">
      <alignment horizontal="right" vertical="center"/>
    </xf>
    <xf numFmtId="167" fontId="73" fillId="22" borderId="0" xfId="0" applyNumberFormat="1" applyFont="1" applyFill="1" applyAlignment="1">
      <alignment horizontal="right" vertical="center"/>
    </xf>
    <xf numFmtId="0" fontId="2" fillId="2" borderId="0" xfId="0" applyFont="1" applyFill="1" applyAlignment="1">
      <alignment horizontal="center" vertical="center"/>
    </xf>
    <xf numFmtId="0" fontId="38" fillId="16" borderId="0" xfId="0" applyFont="1" applyFill="1" applyAlignment="1">
      <alignment horizontal="left" vertical="center"/>
    </xf>
    <xf numFmtId="9" fontId="76" fillId="23" borderId="0" xfId="0" applyNumberFormat="1" applyFont="1" applyFill="1" applyAlignment="1">
      <alignment horizontal="center"/>
    </xf>
    <xf numFmtId="9" fontId="77" fillId="24" borderId="0" xfId="0" applyNumberFormat="1" applyFont="1" applyFill="1" applyAlignment="1">
      <alignment horizontal="center"/>
    </xf>
    <xf numFmtId="9" fontId="48" fillId="25" borderId="0" xfId="0" applyNumberFormat="1" applyFont="1" applyFill="1" applyAlignment="1">
      <alignment horizontal="center"/>
    </xf>
    <xf numFmtId="0" fontId="28" fillId="16" borderId="0" xfId="0" applyFont="1" applyFill="1" applyAlignment="1">
      <alignment horizontal="left" vertical="center"/>
    </xf>
    <xf numFmtId="0" fontId="38" fillId="7" borderId="0" xfId="0" applyFont="1" applyFill="1" applyAlignment="1">
      <alignment horizontal="left" vertical="center"/>
    </xf>
    <xf numFmtId="0" fontId="17" fillId="8" borderId="0" xfId="0" applyFont="1" applyFill="1" applyAlignment="1">
      <alignment horizontal="center" vertical="center"/>
    </xf>
    <xf numFmtId="1" fontId="39" fillId="16" borderId="0" xfId="0" applyNumberFormat="1" applyFont="1" applyFill="1" applyAlignment="1">
      <alignment horizontal="right"/>
    </xf>
    <xf numFmtId="1" fontId="39" fillId="7" borderId="0" xfId="0" applyNumberFormat="1" applyFont="1" applyFill="1" applyAlignment="1">
      <alignment horizontal="right"/>
    </xf>
    <xf numFmtId="165" fontId="39" fillId="16" borderId="0" xfId="0" applyNumberFormat="1" applyFont="1" applyFill="1" applyAlignment="1">
      <alignment horizontal="right"/>
    </xf>
    <xf numFmtId="164" fontId="39" fillId="7" borderId="0" xfId="0" applyNumberFormat="1" applyFont="1" applyFill="1" applyAlignment="1">
      <alignment horizontal="right"/>
    </xf>
    <xf numFmtId="164" fontId="39" fillId="16" borderId="0" xfId="0" applyNumberFormat="1" applyFont="1" applyFill="1" applyAlignment="1">
      <alignment horizontal="right"/>
    </xf>
    <xf numFmtId="1" fontId="76" fillId="23" borderId="0" xfId="0" applyNumberFormat="1" applyFont="1" applyFill="1" applyAlignment="1">
      <alignment horizontal="right"/>
    </xf>
    <xf numFmtId="1" fontId="77" fillId="24" borderId="0" xfId="0" applyNumberFormat="1" applyFont="1" applyFill="1" applyAlignment="1">
      <alignment horizontal="right"/>
    </xf>
    <xf numFmtId="1" fontId="48" fillId="25" borderId="0" xfId="0" applyNumberFormat="1" applyFont="1" applyFill="1" applyAlignment="1">
      <alignment horizontal="right"/>
    </xf>
    <xf numFmtId="0" fontId="28" fillId="16" borderId="0" xfId="0" applyFont="1" applyFill="1" applyAlignment="1">
      <alignment horizontal="left" vertical="center" wrapText="1"/>
    </xf>
    <xf numFmtId="164" fontId="76" fillId="23" borderId="0" xfId="0" applyNumberFormat="1" applyFont="1" applyFill="1" applyAlignment="1">
      <alignment horizontal="right"/>
    </xf>
    <xf numFmtId="164" fontId="77" fillId="24" borderId="0" xfId="0" applyNumberFormat="1" applyFont="1" applyFill="1" applyAlignment="1">
      <alignment horizontal="right"/>
    </xf>
    <xf numFmtId="164" fontId="48" fillId="25" borderId="0" xfId="0" applyNumberFormat="1" applyFont="1" applyFill="1" applyAlignment="1">
      <alignment horizontal="right"/>
    </xf>
    <xf numFmtId="0" fontId="28" fillId="7" borderId="0" xfId="0" applyFont="1" applyFill="1" applyAlignment="1">
      <alignment horizontal="left" vertical="center" wrapText="1"/>
    </xf>
    <xf numFmtId="164" fontId="39" fillId="23" borderId="0" xfId="0" applyNumberFormat="1" applyFont="1" applyFill="1" applyAlignment="1">
      <alignment horizontal="right"/>
    </xf>
    <xf numFmtId="164" fontId="39" fillId="24" borderId="0" xfId="0" applyNumberFormat="1" applyFont="1" applyFill="1" applyAlignment="1">
      <alignment horizontal="right"/>
    </xf>
    <xf numFmtId="164" fontId="39" fillId="25" borderId="0" xfId="0" applyNumberFormat="1" applyFont="1" applyFill="1" applyAlignment="1">
      <alignment horizontal="right"/>
    </xf>
    <xf numFmtId="165" fontId="76" fillId="23" borderId="0" xfId="0" applyNumberFormat="1" applyFont="1" applyFill="1" applyAlignment="1">
      <alignment horizontal="right"/>
    </xf>
    <xf numFmtId="165" fontId="77" fillId="24" borderId="0" xfId="0" applyNumberFormat="1" applyFont="1" applyFill="1" applyAlignment="1">
      <alignment horizontal="right"/>
    </xf>
    <xf numFmtId="165" fontId="48" fillId="25" borderId="0" xfId="0" applyNumberFormat="1" applyFont="1" applyFill="1" applyAlignment="1">
      <alignment horizontal="right"/>
    </xf>
    <xf numFmtId="165" fontId="39" fillId="7" borderId="0" xfId="0" applyNumberFormat="1" applyFont="1" applyFill="1" applyAlignment="1">
      <alignment horizontal="right"/>
    </xf>
    <xf numFmtId="166" fontId="76" fillId="23" borderId="0" xfId="0" applyNumberFormat="1" applyFont="1" applyFill="1" applyAlignment="1">
      <alignment horizontal="right"/>
    </xf>
    <xf numFmtId="166" fontId="77" fillId="24" borderId="0" xfId="0" applyNumberFormat="1" applyFont="1" applyFill="1" applyAlignment="1">
      <alignment horizontal="right"/>
    </xf>
    <xf numFmtId="166" fontId="48" fillId="25" borderId="0" xfId="0" applyNumberFormat="1" applyFont="1" applyFill="1" applyAlignment="1">
      <alignment horizontal="right"/>
    </xf>
    <xf numFmtId="166" fontId="39" fillId="7" borderId="0" xfId="0" applyNumberFormat="1" applyFont="1" applyFill="1" applyAlignment="1">
      <alignment horizontal="right"/>
    </xf>
    <xf numFmtId="0" fontId="76" fillId="23" borderId="0" xfId="0" applyFont="1" applyFill="1" applyAlignment="1">
      <alignment horizontal="left" vertical="center"/>
    </xf>
    <xf numFmtId="0" fontId="77" fillId="24" borderId="0" xfId="0" applyFont="1" applyFill="1" applyAlignment="1">
      <alignment horizontal="left" vertical="center"/>
    </xf>
    <xf numFmtId="0" fontId="48" fillId="25" borderId="0" xfId="0" applyFont="1" applyFill="1" applyAlignment="1">
      <alignment horizontal="left" vertical="center"/>
    </xf>
    <xf numFmtId="0" fontId="17" fillId="17" borderId="0" xfId="0" applyFont="1" applyFill="1" applyAlignment="1">
      <alignment horizontal="left" vertical="center"/>
    </xf>
    <xf numFmtId="0" fontId="17" fillId="5" borderId="0" xfId="0" applyFont="1" applyFill="1" applyAlignment="1">
      <alignment horizontal="left" vertical="center"/>
    </xf>
    <xf numFmtId="0" fontId="22" fillId="0" borderId="0" xfId="0" applyFont="1" applyAlignment="1">
      <alignment horizontal="left" vertical="center" wrapText="1"/>
    </xf>
    <xf numFmtId="0" fontId="38" fillId="0" borderId="0" xfId="0" applyFont="1" applyAlignment="1">
      <alignment horizontal="left" vertical="center" wrapText="1"/>
    </xf>
    <xf numFmtId="0" fontId="10" fillId="0" borderId="0" xfId="0" applyFont="1" applyAlignment="1">
      <alignment horizontal="left" vertical="center" wrapText="1"/>
    </xf>
    <xf numFmtId="0" fontId="9" fillId="4" borderId="0" xfId="0" applyFont="1" applyFill="1" applyAlignment="1">
      <alignment horizontal="right" vertical="center"/>
    </xf>
    <xf numFmtId="0" fontId="78" fillId="0" borderId="0" xfId="0" applyFont="1" applyAlignment="1">
      <alignment horizontal="left" vertical="center" wrapText="1"/>
    </xf>
    <xf numFmtId="0" fontId="79" fillId="0" borderId="0" xfId="0" applyFont="1" applyAlignment="1">
      <alignment horizontal="left" vertical="center" wrapText="1"/>
    </xf>
    <xf numFmtId="0" fontId="8" fillId="0" borderId="0" xfId="0" applyFont="1" applyAlignment="1">
      <alignment horizontal="left" vertical="center"/>
    </xf>
    <xf numFmtId="0" fontId="80" fillId="0" borderId="0" xfId="0" applyFont="1" applyAlignment="1">
      <alignment horizontal="left" vertical="center" wrapText="1"/>
    </xf>
    <xf numFmtId="0" fontId="12" fillId="0" borderId="0" xfId="0" applyFont="1" applyAlignment="1">
      <alignment horizontal="right" vertical="center"/>
    </xf>
    <xf numFmtId="0" fontId="22" fillId="0" borderId="0" xfId="0" applyFont="1" applyAlignment="1">
      <alignment horizontal="left" vertical="center"/>
    </xf>
    <xf numFmtId="0" fontId="22" fillId="8" borderId="0" xfId="0" applyFont="1" applyFill="1" applyAlignment="1">
      <alignment horizontal="right" vertical="center"/>
    </xf>
    <xf numFmtId="0" fontId="10" fillId="0" borderId="0" xfId="0" applyFont="1" applyAlignment="1">
      <alignment horizontal="left" vertical="center"/>
    </xf>
    <xf numFmtId="0" fontId="38" fillId="0" borderId="0" xfId="0" applyFont="1" applyAlignment="1">
      <alignment horizontal="center" vertical="center"/>
    </xf>
    <xf numFmtId="0" fontId="81" fillId="0" borderId="0" xfId="0" applyFont="1" applyAlignment="1">
      <alignment horizontal="right" vertical="center"/>
    </xf>
    <xf numFmtId="0" fontId="17" fillId="0" borderId="0" xfId="0" applyFont="1" applyAlignment="1">
      <alignment horizontal="left" vertical="center"/>
    </xf>
    <xf numFmtId="0" fontId="82" fillId="4" borderId="0" xfId="0" applyFont="1" applyFill="1" applyAlignment="1">
      <alignment horizontal="left" vertical="center" wrapText="1"/>
    </xf>
    <xf numFmtId="0" fontId="0" fillId="4" borderId="0" xfId="0" applyFill="1"/>
    <xf numFmtId="0" fontId="12" fillId="0" borderId="0" xfId="0" applyFont="1" applyAlignment="1">
      <alignment horizontal="left" vertical="center"/>
    </xf>
    <xf numFmtId="0" fontId="83" fillId="27" borderId="7" xfId="0" applyFont="1" applyFill="1" applyBorder="1" applyAlignment="1">
      <alignment horizontal="center" vertical="center" wrapText="1"/>
    </xf>
    <xf numFmtId="0" fontId="0" fillId="28" borderId="0" xfId="0" applyFill="1"/>
    <xf numFmtId="0" fontId="86" fillId="29" borderId="7" xfId="0" applyFont="1" applyFill="1" applyBorder="1" applyAlignment="1">
      <alignment horizontal="center" vertical="center"/>
    </xf>
    <xf numFmtId="0" fontId="87" fillId="29" borderId="7" xfId="0" applyFont="1" applyFill="1" applyBorder="1" applyAlignment="1">
      <alignment horizontal="left" vertical="center" wrapText="1"/>
    </xf>
    <xf numFmtId="0" fontId="88" fillId="29" borderId="7" xfId="0" applyFont="1" applyFill="1" applyBorder="1" applyAlignment="1">
      <alignment horizontal="left" vertical="center" wrapText="1"/>
    </xf>
    <xf numFmtId="0" fontId="89" fillId="29" borderId="7" xfId="0" applyFont="1" applyFill="1" applyBorder="1" applyAlignment="1">
      <alignment horizontal="center" vertical="center" wrapText="1"/>
    </xf>
    <xf numFmtId="0" fontId="90" fillId="28" borderId="7" xfId="0" applyFont="1" applyFill="1" applyBorder="1" applyAlignment="1">
      <alignment horizontal="center" vertical="center"/>
    </xf>
    <xf numFmtId="0" fontId="91" fillId="30" borderId="7" xfId="0" applyFont="1" applyFill="1" applyBorder="1" applyAlignment="1">
      <alignment horizontal="center" vertical="center"/>
    </xf>
    <xf numFmtId="0" fontId="89" fillId="29" borderId="7" xfId="0" applyFont="1" applyFill="1" applyBorder="1" applyAlignment="1">
      <alignment horizontal="center" vertical="center"/>
    </xf>
    <xf numFmtId="0" fontId="86" fillId="31" borderId="7" xfId="0" applyFont="1" applyFill="1" applyBorder="1" applyAlignment="1">
      <alignment horizontal="center" vertical="center"/>
    </xf>
    <xf numFmtId="0" fontId="87" fillId="31" borderId="7" xfId="0" applyFont="1" applyFill="1" applyBorder="1" applyAlignment="1">
      <alignment horizontal="left" vertical="center" wrapText="1"/>
    </xf>
    <xf numFmtId="0" fontId="88" fillId="31" borderId="7" xfId="0" applyFont="1" applyFill="1" applyBorder="1" applyAlignment="1">
      <alignment horizontal="left" vertical="center" wrapText="1"/>
    </xf>
    <xf numFmtId="0" fontId="89" fillId="31" borderId="7" xfId="0" applyFont="1" applyFill="1" applyBorder="1" applyAlignment="1">
      <alignment horizontal="center" vertical="center" wrapText="1"/>
    </xf>
    <xf numFmtId="0" fontId="92" fillId="33" borderId="7" xfId="0" applyFont="1" applyFill="1" applyBorder="1" applyAlignment="1">
      <alignment horizontal="center" vertical="center"/>
    </xf>
    <xf numFmtId="0" fontId="93" fillId="34" borderId="7" xfId="0" applyFont="1" applyFill="1" applyBorder="1" applyAlignment="1">
      <alignment horizontal="center" vertical="center"/>
    </xf>
    <xf numFmtId="0" fontId="94" fillId="35" borderId="7" xfId="0" applyFont="1" applyFill="1" applyBorder="1" applyAlignment="1">
      <alignment horizontal="center" vertical="center"/>
    </xf>
    <xf numFmtId="0" fontId="95" fillId="36" borderId="7" xfId="0" applyFont="1" applyFill="1" applyBorder="1" applyAlignment="1">
      <alignment horizontal="center" vertical="center"/>
    </xf>
    <xf numFmtId="0" fontId="96" fillId="37" borderId="7" xfId="0" applyFont="1" applyFill="1" applyBorder="1" applyAlignment="1">
      <alignment horizontal="center" vertical="center"/>
    </xf>
    <xf numFmtId="0" fontId="97" fillId="39" borderId="7" xfId="0" applyFont="1" applyFill="1" applyBorder="1" applyAlignment="1">
      <alignment horizontal="center" vertical="center"/>
    </xf>
    <xf numFmtId="0" fontId="89" fillId="28" borderId="7" xfId="0" applyFont="1" applyFill="1" applyBorder="1" applyAlignment="1">
      <alignment horizontal="center" vertical="center"/>
    </xf>
    <xf numFmtId="0" fontId="89" fillId="43" borderId="7" xfId="0" applyFont="1" applyFill="1" applyBorder="1" applyAlignment="1">
      <alignment horizontal="center" vertical="center"/>
    </xf>
    <xf numFmtId="0" fontId="101" fillId="0" borderId="0" xfId="0" applyFont="1" applyAlignment="1">
      <alignment horizontal="center" vertical="center"/>
    </xf>
    <xf numFmtId="3" fontId="100" fillId="44" borderId="0" xfId="0" applyNumberFormat="1" applyFont="1" applyFill="1" applyAlignment="1">
      <alignment horizontal="center" vertical="center"/>
    </xf>
    <xf numFmtId="3" fontId="36" fillId="45" borderId="0" xfId="0" applyNumberFormat="1" applyFont="1" applyFill="1" applyAlignment="1">
      <alignment horizontal="right" vertical="center"/>
    </xf>
    <xf numFmtId="164" fontId="36" fillId="45" borderId="0" xfId="0" applyNumberFormat="1" applyFont="1" applyFill="1" applyAlignment="1">
      <alignment horizontal="right" vertical="center"/>
    </xf>
    <xf numFmtId="9" fontId="36" fillId="46" borderId="0" xfId="0" applyNumberFormat="1" applyFont="1" applyFill="1" applyAlignment="1">
      <alignment horizontal="right" vertical="center"/>
    </xf>
    <xf numFmtId="0" fontId="2" fillId="3"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2" fillId="6" borderId="0" xfId="0" applyFont="1" applyFill="1" applyAlignment="1">
      <alignment horizontal="left" vertical="center"/>
    </xf>
    <xf numFmtId="0" fontId="80" fillId="0" borderId="0" xfId="0" applyFont="1" applyAlignment="1">
      <alignment horizontal="left" vertical="center" wrapText="1"/>
    </xf>
    <xf numFmtId="0" fontId="7" fillId="2" borderId="0" xfId="0" applyFont="1" applyFill="1" applyAlignment="1">
      <alignment horizontal="left" vertical="center"/>
    </xf>
    <xf numFmtId="0" fontId="17" fillId="17" borderId="0" xfId="0" applyFont="1" applyFill="1" applyAlignment="1">
      <alignment horizontal="left" vertical="center" indent="1"/>
    </xf>
    <xf numFmtId="164" fontId="25" fillId="10" borderId="4" xfId="0" applyNumberFormat="1" applyFont="1" applyFill="1" applyBorder="1" applyAlignment="1">
      <alignment horizontal="center" vertical="center"/>
    </xf>
    <xf numFmtId="0" fontId="0" fillId="0" borderId="6" xfId="0" applyBorder="1"/>
    <xf numFmtId="0" fontId="18" fillId="2" borderId="0" xfId="0" applyFont="1" applyFill="1" applyAlignment="1">
      <alignment horizontal="left" vertical="center" indent="1"/>
    </xf>
    <xf numFmtId="0" fontId="28" fillId="16" borderId="0" xfId="0" applyFont="1" applyFill="1" applyAlignment="1">
      <alignment horizontal="left" vertical="center" wrapText="1" indent="1"/>
    </xf>
    <xf numFmtId="0" fontId="7" fillId="11" borderId="0" xfId="0" applyFont="1" applyFill="1" applyAlignment="1">
      <alignment horizontal="left" vertical="center" wrapText="1" indent="1"/>
    </xf>
    <xf numFmtId="0" fontId="1" fillId="2" borderId="0" xfId="0" applyFont="1" applyFill="1" applyAlignment="1">
      <alignment horizontal="left" vertical="center" indent="2"/>
    </xf>
    <xf numFmtId="0" fontId="7" fillId="11" borderId="0" xfId="0" applyFont="1" applyFill="1" applyAlignment="1">
      <alignment horizontal="left" vertical="center" indent="1"/>
    </xf>
    <xf numFmtId="0" fontId="7" fillId="2" borderId="0" xfId="0" applyFont="1" applyFill="1" applyAlignment="1">
      <alignment horizontal="left" vertical="center" indent="1"/>
    </xf>
    <xf numFmtId="0" fontId="2" fillId="3" borderId="0" xfId="0" applyFont="1" applyFill="1" applyAlignment="1">
      <alignment horizontal="left" vertical="center" indent="2"/>
    </xf>
    <xf numFmtId="0" fontId="7" fillId="6" borderId="0" xfId="0" applyFont="1" applyFill="1" applyAlignment="1">
      <alignment horizontal="left" vertical="center" indent="1"/>
    </xf>
    <xf numFmtId="0" fontId="2" fillId="13" borderId="0" xfId="0" applyFont="1" applyFill="1" applyAlignment="1">
      <alignment horizontal="left" vertical="center" indent="1"/>
    </xf>
    <xf numFmtId="0" fontId="34" fillId="15" borderId="0" xfId="0" applyFont="1" applyFill="1" applyAlignment="1">
      <alignment horizontal="left" vertical="center" wrapText="1" indent="1"/>
    </xf>
    <xf numFmtId="0" fontId="27" fillId="10" borderId="0" xfId="0" applyFont="1" applyFill="1" applyAlignment="1">
      <alignment horizontal="center" vertical="top"/>
    </xf>
    <xf numFmtId="0" fontId="7" fillId="3" borderId="0" xfId="0" applyFont="1" applyFill="1" applyAlignment="1">
      <alignment horizontal="left" vertical="center" indent="1"/>
    </xf>
    <xf numFmtId="0" fontId="2" fillId="11" borderId="0" xfId="0" applyFont="1" applyFill="1" applyAlignment="1">
      <alignment horizontal="left" vertical="center"/>
    </xf>
    <xf numFmtId="0" fontId="28" fillId="0" borderId="0" xfId="0" applyFont="1"/>
    <xf numFmtId="0" fontId="2" fillId="2" borderId="0" xfId="0" applyFont="1" applyFill="1" applyAlignment="1">
      <alignment horizontal="left" vertical="center"/>
    </xf>
    <xf numFmtId="0" fontId="14" fillId="0" borderId="0" xfId="0" applyFont="1"/>
    <xf numFmtId="0" fontId="7" fillId="21" borderId="0" xfId="0" applyFont="1" applyFill="1" applyAlignment="1">
      <alignment horizontal="left" vertical="center" indent="1"/>
    </xf>
    <xf numFmtId="0" fontId="19" fillId="16" borderId="0" xfId="0" applyFont="1" applyFill="1" applyAlignment="1">
      <alignment horizontal="left" vertical="center" indent="1"/>
    </xf>
    <xf numFmtId="0" fontId="74" fillId="0" borderId="0" xfId="0" applyFont="1" applyAlignment="1">
      <alignment horizontal="left" vertical="center" wrapText="1"/>
    </xf>
    <xf numFmtId="0" fontId="19" fillId="7" borderId="0" xfId="0" applyFont="1" applyFill="1" applyAlignment="1">
      <alignment horizontal="left" vertical="center" indent="1"/>
    </xf>
    <xf numFmtId="0" fontId="74" fillId="0" borderId="0" xfId="0" applyFont="1" applyAlignment="1">
      <alignment horizontal="left" vertical="center"/>
    </xf>
    <xf numFmtId="0" fontId="2" fillId="3" borderId="0" xfId="0" applyFont="1" applyFill="1" applyAlignment="1">
      <alignment horizontal="center" vertical="center"/>
    </xf>
    <xf numFmtId="0" fontId="2" fillId="11" borderId="0" xfId="0" applyFont="1" applyFill="1" applyAlignment="1">
      <alignment horizontal="center" vertical="center"/>
    </xf>
    <xf numFmtId="0" fontId="99" fillId="17" borderId="0" xfId="0" applyFont="1" applyFill="1" applyAlignment="1">
      <alignment vertical="top" wrapText="1"/>
    </xf>
    <xf numFmtId="0" fontId="65" fillId="2" borderId="0" xfId="0" applyFont="1" applyFill="1" applyAlignment="1">
      <alignment horizontal="left" vertical="center" indent="2"/>
    </xf>
    <xf numFmtId="0" fontId="2" fillId="2" borderId="0" xfId="0" applyFont="1" applyFill="1" applyAlignment="1">
      <alignment horizontal="center" vertical="center"/>
    </xf>
    <xf numFmtId="0" fontId="13" fillId="0" borderId="0" xfId="0" applyFont="1" applyAlignment="1">
      <alignment horizontal="left" vertical="center" indent="1"/>
    </xf>
    <xf numFmtId="0" fontId="75" fillId="2" borderId="0" xfId="0" applyFont="1" applyFill="1" applyAlignment="1">
      <alignment horizontal="left" vertical="center"/>
    </xf>
    <xf numFmtId="0" fontId="28" fillId="16" borderId="0" xfId="0" applyFont="1" applyFill="1" applyAlignment="1">
      <alignment horizontal="left" vertical="center"/>
    </xf>
    <xf numFmtId="0" fontId="38" fillId="24" borderId="0" xfId="0" applyFont="1" applyFill="1" applyAlignment="1">
      <alignment horizontal="left" vertical="center" wrapText="1"/>
    </xf>
    <xf numFmtId="0" fontId="38" fillId="23" borderId="0" xfId="0" applyFont="1" applyFill="1" applyAlignment="1">
      <alignment horizontal="left" vertical="center" wrapText="1"/>
    </xf>
    <xf numFmtId="0" fontId="38" fillId="25" borderId="0" xfId="0" applyFont="1" applyFill="1" applyAlignment="1">
      <alignment horizontal="left" vertical="center" wrapText="1"/>
    </xf>
    <xf numFmtId="0" fontId="38" fillId="17" borderId="0" xfId="0" applyFont="1" applyFill="1" applyAlignment="1">
      <alignment horizontal="left" vertical="center" wrapText="1"/>
    </xf>
    <xf numFmtId="0" fontId="83" fillId="26" borderId="0" xfId="0" applyFont="1" applyFill="1" applyAlignment="1">
      <alignment horizontal="left" vertical="center"/>
    </xf>
    <xf numFmtId="0" fontId="83" fillId="26" borderId="0" xfId="0" applyFont="1" applyFill="1" applyAlignment="1">
      <alignment horizontal="center" vertical="center"/>
    </xf>
    <xf numFmtId="0" fontId="85" fillId="28" borderId="0" xfId="0" applyFont="1" applyFill="1" applyAlignment="1">
      <alignment horizontal="left" vertical="center" wrapText="1"/>
    </xf>
    <xf numFmtId="0" fontId="83" fillId="32" borderId="0" xfId="0" applyFont="1" applyFill="1" applyAlignment="1">
      <alignment horizontal="left" vertical="center"/>
    </xf>
    <xf numFmtId="0" fontId="98" fillId="40" borderId="0" xfId="0" applyFont="1" applyFill="1" applyAlignment="1">
      <alignment horizontal="left" vertical="center" wrapText="1"/>
    </xf>
    <xf numFmtId="0" fontId="83" fillId="27" borderId="0" xfId="0" applyFont="1" applyFill="1" applyAlignment="1">
      <alignment horizontal="left" vertical="center"/>
    </xf>
    <xf numFmtId="0" fontId="84" fillId="27" borderId="0" xfId="0" applyFont="1" applyFill="1" applyAlignment="1">
      <alignment horizontal="left" vertical="center" wrapText="1" indent="1"/>
    </xf>
    <xf numFmtId="0" fontId="83" fillId="38" borderId="0" xfId="0" applyFont="1" applyFill="1" applyAlignment="1">
      <alignment horizontal="left" vertical="center"/>
    </xf>
    <xf numFmtId="0" fontId="83" fillId="42" borderId="0" xfId="0" applyFont="1" applyFill="1" applyAlignment="1">
      <alignment horizontal="left" vertical="center"/>
    </xf>
    <xf numFmtId="0" fontId="83" fillId="41"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BEB"/>
      <rgbColor rgb="FFFF00FF"/>
      <rgbColor rgb="FFFAFAFA"/>
      <rgbColor rgb="FF991B1B"/>
      <rgbColor rgb="FF065F46"/>
      <rgbColor rgb="FF000080"/>
      <rgbColor rgb="FF8B5E3C"/>
      <rgbColor rgb="FF800080"/>
      <rgbColor rgb="FF007B8A"/>
      <rgbColor rgb="FFDDE1E7"/>
      <rgbColor rgb="FF878787"/>
      <rgbColor rgb="FF888888"/>
      <rgbColor rgb="FFB91C1C"/>
      <rgbColor rgb="FFFEF9C3"/>
      <rgbColor rgb="FFDCFCE7"/>
      <rgbColor rgb="FF660066"/>
      <rgbColor rgb="FFF8F9FA"/>
      <rgbColor rgb="FF1D4ED8"/>
      <rgbColor rgb="FFD9D9D9"/>
      <rgbColor rgb="FF000080"/>
      <rgbColor rgb="FFFF00FF"/>
      <rgbColor rgb="FFF0FDF4"/>
      <rgbColor rgb="FF00FFFF"/>
      <rgbColor rgb="FF800080"/>
      <rgbColor rgb="FF800000"/>
      <rgbColor rgb="FF0F766E"/>
      <rgbColor rgb="FF0000FF"/>
      <rgbColor rgb="FF00CCFF"/>
      <rgbColor rgb="FFE8F4F8"/>
      <rgbColor rgb="FFD1FAE5"/>
      <rgbColor rgb="FFFFF8E6"/>
      <rgbColor rgb="FFA8ECF5"/>
      <rgbColor rgb="FFF3F4F6"/>
      <rgbColor rgb="FFE5E7EB"/>
      <rgbColor rgb="FFFEE2E2"/>
      <rgbColor rgb="FF005F6B"/>
      <rgbColor rgb="FFF0F9FA"/>
      <rgbColor rgb="FFECFDF5"/>
      <rgbColor rgb="FFEEF6F8"/>
      <rgbColor rgb="FFF59E0B"/>
      <rgbColor rgb="FFFF6600"/>
      <rgbColor rgb="FF6B7280"/>
      <rgbColor rgb="FF9CA3AF"/>
      <rgbColor rgb="FF003057"/>
      <rgbColor rgb="FF1A7A6E"/>
      <rgbColor rgb="FF001F3D"/>
      <rgbColor rgb="FF1A3A5C"/>
      <rgbColor rgb="FF92400E"/>
      <rgbColor rgb="FF7C3500"/>
      <rgbColor rgb="FF2D4A6B"/>
      <rgbColor rgb="FF37415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Copilot Practice Revenue by Stream</a:t>
            </a:r>
          </a:p>
        </c:rich>
      </c:tx>
      <c:overlay val="0"/>
      <c:spPr>
        <a:noFill/>
        <a:ln w="0">
          <a:noFill/>
          <a:prstDash val="solid"/>
        </a:ln>
      </c:spPr>
    </c:title>
    <c:autoTitleDeleted val="0"/>
    <c:plotArea>
      <c:layout/>
      <c:barChart>
        <c:barDir val="col"/>
        <c:grouping val="clustered"/>
        <c:varyColors val="0"/>
        <c:ser>
          <c:idx val="0"/>
          <c:order val="0"/>
          <c:tx>
            <c:strRef>
              <c:f>'2 · Your Copilot Practice'!$I$52</c:f>
              <c:strCache>
                <c:ptCount val="1"/>
                <c:pt idx="0">
                  <c:v>T2 Retainers</c:v>
                </c:pt>
              </c:strCache>
            </c:strRef>
          </c:tx>
          <c:spPr>
            <a:solidFill>
              <a:srgbClr val="005F6B"/>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'2 · Your Copilot Practice'!$I$52:$I$56</c:f>
              <c:strCache>
                <c:ptCount val="5"/>
                <c:pt idx="0">
                  <c:v>T2 Retainers</c:v>
                </c:pt>
                <c:pt idx="1">
                  <c:v>T3 Retainers</c:v>
                </c:pt>
                <c:pt idx="2">
                  <c:v>Projects</c:v>
                </c:pt>
                <c:pt idx="3">
                  <c:v>AgentCare</c:v>
                </c:pt>
                <c:pt idx="4">
                  <c:v>Credit Wrap + A365</c:v>
                </c:pt>
              </c:strCache>
            </c:strRef>
          </c:cat>
          <c:val>
            <c:numRef>
              <c:f>'2 · Your Copilot Practice'!$J$52:$J$56</c:f>
              <c:numCache>
                <c:formatCode>\$#,##0</c:formatCode>
                <c:ptCount val="5"/>
                <c:pt idx="0">
                  <c:v>36000</c:v>
                </c:pt>
                <c:pt idx="1">
                  <c:v>13500</c:v>
                </c:pt>
                <c:pt idx="2">
                  <c:v>240000</c:v>
                </c:pt>
                <c:pt idx="3">
                  <c:v>91800</c:v>
                </c:pt>
                <c:pt idx="4">
                  <c:v>15300</c:v>
                </c:pt>
              </c:numCache>
            </c:numRef>
          </c:val>
          <c:extLst>
            <c:ext xmlns:c16="http://schemas.microsoft.com/office/drawing/2014/chart" uri="{C3380CC4-5D6E-409C-BE32-E72D297353CC}">
              <c16:uniqueId val="{00000000-D673-447D-A213-F981B08479DF}"/>
            </c:ext>
          </c:extLst>
        </c:ser>
        <c:dLbls>
          <c:showLegendKey val="0"/>
          <c:showVal val="0"/>
          <c:showCatName val="0"/>
          <c:showSerName val="0"/>
          <c:showPercent val="0"/>
          <c:showBubbleSize val="0"/>
        </c:dLbls>
        <c:gapWidth val="150"/>
        <c:axId val="71377528"/>
        <c:axId val="78914918"/>
      </c:barChart>
      <c:catAx>
        <c:axId val="71377528"/>
        <c:scaling>
          <c:orientation val="minMax"/>
        </c:scaling>
        <c:delete val="0"/>
        <c:axPos val="b"/>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en-US"/>
          </a:p>
        </c:txPr>
        <c:crossAx val="78914918"/>
        <c:crosses val="autoZero"/>
        <c:auto val="1"/>
        <c:lblAlgn val="ctr"/>
        <c:lblOffset val="100"/>
        <c:noMultiLvlLbl val="0"/>
      </c:catAx>
      <c:valAx>
        <c:axId val="78914918"/>
        <c:scaling>
          <c:orientation val="minMax"/>
        </c:scaling>
        <c:delete val="0"/>
        <c:axPos val="l"/>
        <c:majorGridlines>
          <c:spPr>
            <a:ln w="9360">
              <a:solidFill>
                <a:srgbClr val="878787"/>
              </a:solidFill>
              <a:prstDash val="solid"/>
              <a:round/>
            </a:ln>
          </c:spPr>
        </c:majorGridlines>
        <c:title>
          <c:tx>
            <c:rich>
              <a:bodyPr rot="-5400000"/>
              <a:lstStyle/>
              <a:p>
                <a:pPr>
                  <a:defRPr lang="en-US" sz="1000" b="1" strike="noStrike" spc="-1">
                    <a:solidFill>
                      <a:srgbClr val="000000"/>
                    </a:solidFill>
                    <a:latin typeface="Calibri"/>
                  </a:defRPr>
                </a:pPr>
                <a:r>
                  <a:rPr lang="en-US" sz="1000" b="1" strike="noStrike" spc="-1">
                    <a:solidFill>
                      <a:srgbClr val="000000"/>
                    </a:solidFill>
                    <a:latin typeface="Calibri"/>
                  </a:rPr>
                  <a:t>Annual Revenue ($)</a:t>
                </a:r>
              </a:p>
            </c:rich>
          </c:tx>
          <c:overlay val="0"/>
          <c:spPr>
            <a:noFill/>
            <a:ln w="0">
              <a:noFill/>
              <a:prstDash val="solid"/>
            </a:ln>
          </c:spPr>
        </c:title>
        <c:numFmt formatCode="\$#,##0"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en-US"/>
          </a:p>
        </c:txPr>
        <c:crossAx val="71377528"/>
        <c:crosses val="autoZero"/>
        <c:crossBetween val="between"/>
      </c:valAx>
    </c:plotArea>
    <c:legend>
      <c:legendPos val="r"/>
      <c:overlay val="0"/>
      <c:spPr>
        <a:noFill/>
        <a:ln w="0">
          <a:noFill/>
          <a:prstDash val="solid"/>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3-Year Revenue Projection</a:t>
            </a:r>
          </a:p>
        </c:rich>
      </c:tx>
      <c:overlay val="0"/>
      <c:spPr>
        <a:noFill/>
        <a:ln w="0">
          <a:noFill/>
          <a:prstDash val="solid"/>
        </a:ln>
      </c:spPr>
    </c:title>
    <c:autoTitleDeleted val="0"/>
    <c:plotArea>
      <c:layout/>
      <c:barChart>
        <c:barDir val="col"/>
        <c:grouping val="clustered"/>
        <c:varyColors val="0"/>
        <c:ser>
          <c:idx val="0"/>
          <c:order val="0"/>
          <c:spPr>
            <a:solidFill>
              <a:srgbClr val="005F6B"/>
            </a:solidFill>
            <a:ln w="0">
              <a:noFill/>
              <a:prstDash val="solid"/>
            </a:ln>
          </c:spPr>
          <c:invertIfNegative val="0"/>
          <c:dLbls>
            <c:spPr>
              <a:noFill/>
              <a:ln>
                <a:noFill/>
                <a:prstDash val="solid"/>
              </a:ln>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'3 · Before vs After'!$B$46:$B$49</c:f>
              <c:strCache>
                <c:ptCount val="4"/>
                <c:pt idx="0">
                  <c:v>Today</c:v>
                </c:pt>
                <c:pt idx="1">
                  <c:v>Year 1</c:v>
                </c:pt>
                <c:pt idx="2">
                  <c:v>Year 2</c:v>
                </c:pt>
                <c:pt idx="3">
                  <c:v>Year 3</c:v>
                </c:pt>
              </c:strCache>
            </c:strRef>
          </c:cat>
          <c:val>
            <c:numRef>
              <c:f>'3 · Before vs After'!$C$45:$C$49</c:f>
              <c:numCache>
                <c:formatCode>\$#,##0</c:formatCode>
                <c:ptCount val="5"/>
                <c:pt idx="1">
                  <c:v>2796600</c:v>
                </c:pt>
                <c:pt idx="2">
                  <c:v>2959280</c:v>
                </c:pt>
                <c:pt idx="3">
                  <c:v>3367254.8</c:v>
                </c:pt>
                <c:pt idx="4">
                  <c:v>3914335.04</c:v>
                </c:pt>
              </c:numCache>
            </c:numRef>
          </c:val>
          <c:extLst>
            <c:ext xmlns:c16="http://schemas.microsoft.com/office/drawing/2014/chart" uri="{C3380CC4-5D6E-409C-BE32-E72D297353CC}">
              <c16:uniqueId val="{00000000-785F-4DD0-89B7-DB33ACCCD078}"/>
            </c:ext>
          </c:extLst>
        </c:ser>
        <c:dLbls>
          <c:showLegendKey val="0"/>
          <c:showVal val="0"/>
          <c:showCatName val="0"/>
          <c:showSerName val="0"/>
          <c:showPercent val="0"/>
          <c:showBubbleSize val="0"/>
        </c:dLbls>
        <c:gapWidth val="150"/>
        <c:axId val="53885439"/>
        <c:axId val="20996802"/>
      </c:barChart>
      <c:catAx>
        <c:axId val="53885439"/>
        <c:scaling>
          <c:orientation val="minMax"/>
        </c:scaling>
        <c:delete val="0"/>
        <c:axPos val="b"/>
        <c:numFmt formatCode="General"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en-US"/>
          </a:p>
        </c:txPr>
        <c:crossAx val="20996802"/>
        <c:crosses val="autoZero"/>
        <c:auto val="1"/>
        <c:lblAlgn val="ctr"/>
        <c:lblOffset val="100"/>
        <c:noMultiLvlLbl val="0"/>
      </c:catAx>
      <c:valAx>
        <c:axId val="20996802"/>
        <c:scaling>
          <c:orientation val="minMax"/>
        </c:scaling>
        <c:delete val="0"/>
        <c:axPos val="l"/>
        <c:majorGridlines>
          <c:spPr>
            <a:ln w="9360">
              <a:solidFill>
                <a:srgbClr val="878787"/>
              </a:solidFill>
              <a:prstDash val="solid"/>
              <a:round/>
            </a:ln>
          </c:spPr>
        </c:majorGridlines>
        <c:title>
          <c:tx>
            <c:rich>
              <a:bodyPr rot="-5400000"/>
              <a:lstStyle/>
              <a:p>
                <a:pPr>
                  <a:defRPr lang="en-US" sz="1000" b="1" strike="noStrike" spc="-1">
                    <a:solidFill>
                      <a:srgbClr val="000000"/>
                    </a:solidFill>
                    <a:latin typeface="Calibri"/>
                  </a:defRPr>
                </a:pPr>
                <a:r>
                  <a:rPr lang="en-US" sz="1000" b="1" strike="noStrike" spc="-1">
                    <a:solidFill>
                      <a:srgbClr val="000000"/>
                    </a:solidFill>
                    <a:latin typeface="Calibri"/>
                  </a:rPr>
                  <a:t>Revenue ($)</a:t>
                </a:r>
              </a:p>
            </c:rich>
          </c:tx>
          <c:overlay val="0"/>
          <c:spPr>
            <a:noFill/>
            <a:ln w="0">
              <a:noFill/>
              <a:prstDash val="solid"/>
            </a:ln>
          </c:spPr>
        </c:title>
        <c:numFmt formatCode="\$#,##0" sourceLinked="0"/>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en-US"/>
          </a:p>
        </c:txPr>
        <c:crossAx val="53885439"/>
        <c:crosses val="autoZero"/>
        <c:crossBetween val="between"/>
      </c:valAx>
    </c:plotArea>
    <c:legend>
      <c:legendPos val="r"/>
      <c:overlay val="0"/>
      <c:spPr>
        <a:noFill/>
        <a:ln w="0">
          <a:noFill/>
          <a:prstDash val="solid"/>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6</xdr:col>
      <xdr:colOff>342360</xdr:colOff>
      <xdr:row>69</xdr:row>
      <xdr:rowOff>180000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6</xdr:col>
      <xdr:colOff>976680</xdr:colOff>
      <xdr:row>73</xdr:row>
      <xdr:rowOff>180360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057"/>
  </sheetPr>
  <dimension ref="B1:I56"/>
  <sheetViews>
    <sheetView showGridLines="0" zoomScale="90" zoomScaleNormal="90" workbookViewId="0">
      <pane xSplit="1" ySplit="6" topLeftCell="B7" activePane="bottomRight" state="frozen"/>
      <selection pane="topRight" activeCell="B1" sqref="B1"/>
      <selection pane="bottomLeft" activeCell="A7" sqref="A7"/>
      <selection pane="bottomRight" activeCell="C16" sqref="C16"/>
    </sheetView>
  </sheetViews>
  <sheetFormatPr defaultColWidth="8.6328125" defaultRowHeight="14.5" x14ac:dyDescent="0.35"/>
  <cols>
    <col min="1" max="1" width="0.81640625" customWidth="1"/>
    <col min="2" max="2" width="42" customWidth="1"/>
    <col min="3" max="4" width="16" customWidth="1"/>
    <col min="5" max="5" width="14" customWidth="1"/>
    <col min="6" max="6" width="28" customWidth="1"/>
    <col min="7" max="8" width="14" customWidth="1"/>
    <col min="9" max="9" width="0.81640625" customWidth="1"/>
    <col min="10" max="10" width="14" customWidth="1"/>
  </cols>
  <sheetData>
    <row r="1" spans="2:9" ht="6" customHeight="1" x14ac:dyDescent="0.35"/>
    <row r="2" spans="2:9" ht="33.75" customHeight="1" x14ac:dyDescent="0.35">
      <c r="B2" s="257" t="s">
        <v>0</v>
      </c>
      <c r="C2" s="246"/>
      <c r="D2" s="246"/>
      <c r="E2" s="246"/>
      <c r="F2" s="246"/>
      <c r="G2" s="246"/>
      <c r="H2" s="246"/>
      <c r="I2" s="246"/>
    </row>
    <row r="3" spans="2:9" ht="18" customHeight="1" x14ac:dyDescent="0.35">
      <c r="B3" s="260" t="s">
        <v>111</v>
      </c>
      <c r="C3" s="246"/>
      <c r="D3" s="246"/>
      <c r="E3" s="246"/>
      <c r="F3" s="246"/>
      <c r="G3" s="246"/>
      <c r="H3" s="246"/>
      <c r="I3" s="246"/>
    </row>
    <row r="4" spans="2:9" ht="4.5" customHeight="1" x14ac:dyDescent="0.35"/>
    <row r="5" spans="2:9" ht="18" customHeight="1" x14ac:dyDescent="0.35">
      <c r="B5" s="3" t="s">
        <v>112</v>
      </c>
      <c r="C5" s="4" t="s">
        <v>113</v>
      </c>
      <c r="D5" s="5" t="s">
        <v>114</v>
      </c>
      <c r="F5" s="6" t="s">
        <v>115</v>
      </c>
    </row>
    <row r="6" spans="2:9" ht="4.5" customHeight="1" x14ac:dyDescent="0.35"/>
    <row r="7" spans="2:9" ht="21.75" customHeight="1" x14ac:dyDescent="0.35">
      <c r="B7" s="259" t="s">
        <v>116</v>
      </c>
      <c r="C7" s="246"/>
      <c r="D7" s="246"/>
      <c r="F7" s="261" t="s">
        <v>117</v>
      </c>
      <c r="G7" s="246"/>
      <c r="H7" s="246"/>
    </row>
    <row r="8" spans="2:9" ht="18" customHeight="1" x14ac:dyDescent="0.35">
      <c r="B8" s="7" t="s">
        <v>118</v>
      </c>
      <c r="C8" s="8">
        <v>50</v>
      </c>
      <c r="D8" s="9" t="s">
        <v>119</v>
      </c>
      <c r="F8" s="10" t="s">
        <v>120</v>
      </c>
      <c r="G8" s="11"/>
      <c r="H8" s="12" t="s">
        <v>121</v>
      </c>
    </row>
    <row r="9" spans="2:9" ht="16.5" customHeight="1" x14ac:dyDescent="0.35">
      <c r="B9" s="7" t="s">
        <v>122</v>
      </c>
      <c r="C9" s="8">
        <v>40</v>
      </c>
      <c r="D9" s="9" t="s">
        <v>123</v>
      </c>
      <c r="F9" s="13" t="s">
        <v>124</v>
      </c>
      <c r="G9" s="14">
        <f>C14</f>
        <v>576000</v>
      </c>
      <c r="H9" s="15">
        <f>IF(C18&gt;0,G9/C18,0)</f>
        <v>0.24161073825503357</v>
      </c>
    </row>
    <row r="10" spans="2:9" ht="16.5" customHeight="1" x14ac:dyDescent="0.35">
      <c r="B10" s="7" t="s">
        <v>125</v>
      </c>
      <c r="C10" s="16">
        <f>C8*C9</f>
        <v>2000</v>
      </c>
      <c r="D10" s="17" t="s">
        <v>126</v>
      </c>
      <c r="F10" s="13" t="s">
        <v>127</v>
      </c>
      <c r="G10" s="14">
        <f>C15</f>
        <v>1100000</v>
      </c>
      <c r="H10" s="15">
        <f>IF(C18&gt;0,G10/C18,0)</f>
        <v>0.46140939597315433</v>
      </c>
    </row>
    <row r="11" spans="2:9" ht="16.5" customHeight="1" x14ac:dyDescent="0.35">
      <c r="B11" s="13" t="s">
        <v>128</v>
      </c>
      <c r="C11" s="18">
        <v>24</v>
      </c>
      <c r="D11" s="19" t="s">
        <v>129</v>
      </c>
      <c r="F11" s="13" t="s">
        <v>130</v>
      </c>
      <c r="G11" s="14">
        <f>C16</f>
        <v>616000</v>
      </c>
      <c r="H11" s="15">
        <f>IF(C18&gt;0,G11/C18,0)</f>
        <v>0.25838926174496646</v>
      </c>
    </row>
    <row r="12" spans="2:9" ht="16.5" customHeight="1" x14ac:dyDescent="0.35">
      <c r="F12" s="13" t="s">
        <v>131</v>
      </c>
      <c r="G12" s="14">
        <f>C17</f>
        <v>92000</v>
      </c>
      <c r="H12" s="15">
        <f>IF(C18&gt;0,G12/C18,0)</f>
        <v>3.8590604026845637E-2</v>
      </c>
    </row>
    <row r="13" spans="2:9" ht="21.75" customHeight="1" x14ac:dyDescent="0.35">
      <c r="B13" s="259" t="s">
        <v>132</v>
      </c>
      <c r="C13" s="246"/>
      <c r="D13" s="246"/>
      <c r="F13" s="20" t="s">
        <v>133</v>
      </c>
      <c r="G13" s="21">
        <f>C18</f>
        <v>2384000</v>
      </c>
      <c r="H13" s="22" t="s">
        <v>134</v>
      </c>
    </row>
    <row r="14" spans="2:9" ht="16.5" customHeight="1" x14ac:dyDescent="0.35">
      <c r="B14" s="13" t="s">
        <v>135</v>
      </c>
      <c r="C14" s="23">
        <f>C10*C11*12</f>
        <v>576000</v>
      </c>
      <c r="D14" s="17" t="s">
        <v>136</v>
      </c>
    </row>
    <row r="15" spans="2:9" ht="18" customHeight="1" x14ac:dyDescent="0.35">
      <c r="B15" s="7" t="s">
        <v>137</v>
      </c>
      <c r="C15" s="24">
        <v>1100000</v>
      </c>
      <c r="D15" s="9" t="s">
        <v>138</v>
      </c>
      <c r="F15" s="254" t="s">
        <v>139</v>
      </c>
      <c r="G15" s="246"/>
      <c r="H15" s="246"/>
    </row>
    <row r="16" spans="2:9" ht="16.5" customHeight="1" x14ac:dyDescent="0.35">
      <c r="B16" s="13" t="s">
        <v>140</v>
      </c>
      <c r="C16" s="24">
        <v>616000</v>
      </c>
      <c r="D16" s="19" t="s">
        <v>141</v>
      </c>
      <c r="F16" s="25" t="s">
        <v>142</v>
      </c>
      <c r="G16" s="26">
        <f>C14*(1-C42)+C8*C43+C46+C16*(1-C44)+C17*C45</f>
        <v>1227360</v>
      </c>
      <c r="H16" s="27"/>
    </row>
    <row r="17" spans="2:8" ht="21.75" customHeight="1" x14ac:dyDescent="0.35">
      <c r="B17" s="7" t="s">
        <v>143</v>
      </c>
      <c r="C17" s="24">
        <v>92000</v>
      </c>
      <c r="D17" s="9" t="s">
        <v>144</v>
      </c>
      <c r="F17" s="28" t="s">
        <v>145</v>
      </c>
      <c r="G17" s="29">
        <f>C18-G16</f>
        <v>1156640</v>
      </c>
      <c r="H17" s="30">
        <f>IF(C18&gt;0,G17/C18,0)</f>
        <v>0.48516778523489934</v>
      </c>
    </row>
    <row r="18" spans="2:8" ht="21.75" customHeight="1" x14ac:dyDescent="0.35">
      <c r="B18" s="20" t="s">
        <v>133</v>
      </c>
      <c r="C18" s="21">
        <f>C14+C15+C16+C17</f>
        <v>2384000</v>
      </c>
      <c r="D18" s="31" t="s">
        <v>146</v>
      </c>
    </row>
    <row r="19" spans="2:8" ht="18" customHeight="1" x14ac:dyDescent="0.35">
      <c r="F19" s="254" t="s">
        <v>147</v>
      </c>
      <c r="G19" s="246"/>
      <c r="H19" s="246"/>
    </row>
    <row r="20" spans="2:8" ht="16.5" customHeight="1" x14ac:dyDescent="0.35">
      <c r="B20" s="259" t="s">
        <v>148</v>
      </c>
      <c r="C20" s="246"/>
      <c r="D20" s="246"/>
      <c r="F20" s="13" t="s">
        <v>149</v>
      </c>
      <c r="G20" s="14">
        <f>C30</f>
        <v>803880</v>
      </c>
      <c r="H20" s="15">
        <f>IF(C18&gt;0,G20/C18,0)</f>
        <v>0.3371979865771812</v>
      </c>
    </row>
    <row r="21" spans="2:8" ht="16.5" customHeight="1" x14ac:dyDescent="0.35">
      <c r="B21" s="32" t="s">
        <v>150</v>
      </c>
      <c r="C21" s="33" t="s">
        <v>151</v>
      </c>
      <c r="D21" s="33" t="s">
        <v>152</v>
      </c>
      <c r="F21" s="13" t="s">
        <v>153</v>
      </c>
      <c r="G21" s="14">
        <f>C39</f>
        <v>223000</v>
      </c>
      <c r="H21" s="15">
        <f>IF(C18&gt;0,G21/C18,0)</f>
        <v>9.3540268456375836E-2</v>
      </c>
    </row>
    <row r="22" spans="2:8" ht="21.75" customHeight="1" x14ac:dyDescent="0.35">
      <c r="B22" s="13" t="s">
        <v>154</v>
      </c>
      <c r="C22" s="8">
        <v>2</v>
      </c>
      <c r="D22" s="24">
        <v>52000</v>
      </c>
      <c r="F22" s="28" t="s">
        <v>155</v>
      </c>
      <c r="G22" s="29">
        <f>G20+G21</f>
        <v>1026880</v>
      </c>
      <c r="H22" s="34">
        <f>IF(C18&gt;0,G22/C18,0)</f>
        <v>0.43073825503355706</v>
      </c>
    </row>
    <row r="23" spans="2:8" ht="16.5" customHeight="1" x14ac:dyDescent="0.35">
      <c r="B23" s="13" t="s">
        <v>156</v>
      </c>
      <c r="C23" s="8">
        <v>1</v>
      </c>
      <c r="D23" s="24">
        <v>95000</v>
      </c>
    </row>
    <row r="24" spans="2:8" ht="19.5" customHeight="1" x14ac:dyDescent="0.35">
      <c r="B24" s="35" t="s">
        <v>157</v>
      </c>
      <c r="C24" s="8">
        <v>0</v>
      </c>
      <c r="D24" s="24">
        <v>115000</v>
      </c>
      <c r="F24" s="252">
        <f>G17-G22</f>
        <v>129760</v>
      </c>
      <c r="G24" s="253"/>
      <c r="H24" s="36">
        <f>IF(C18&gt;0,(G17-G22)/C18,0)</f>
        <v>5.442953020134228E-2</v>
      </c>
    </row>
    <row r="25" spans="2:8" ht="12.75" customHeight="1" x14ac:dyDescent="0.35">
      <c r="B25" s="13" t="s">
        <v>158</v>
      </c>
      <c r="C25" s="8">
        <v>1</v>
      </c>
      <c r="D25" s="24">
        <v>130000</v>
      </c>
      <c r="F25" s="264" t="s">
        <v>159</v>
      </c>
      <c r="G25" s="246"/>
      <c r="H25" s="246"/>
    </row>
    <row r="26" spans="2:8" ht="16.5" customHeight="1" x14ac:dyDescent="0.35">
      <c r="B26" s="13" t="s">
        <v>160</v>
      </c>
      <c r="C26" s="8">
        <v>1</v>
      </c>
      <c r="D26" s="24">
        <v>80000</v>
      </c>
    </row>
    <row r="27" spans="2:8" ht="21.75" customHeight="1" x14ac:dyDescent="0.35">
      <c r="B27" s="13" t="s">
        <v>161</v>
      </c>
      <c r="C27" s="8">
        <v>1</v>
      </c>
      <c r="D27" s="24">
        <v>155000</v>
      </c>
      <c r="F27" s="258" t="s">
        <v>162</v>
      </c>
      <c r="G27" s="246"/>
      <c r="H27" s="246"/>
    </row>
    <row r="28" spans="2:8" ht="18" customHeight="1" x14ac:dyDescent="0.35">
      <c r="B28" s="13" t="s">
        <v>163</v>
      </c>
      <c r="C28" s="8">
        <v>1</v>
      </c>
      <c r="D28" s="24">
        <v>45000</v>
      </c>
      <c r="E28" s="37" t="s">
        <v>164</v>
      </c>
      <c r="F28" s="25" t="s">
        <v>165</v>
      </c>
      <c r="G28" s="38">
        <f>IF(C29&gt;0,C18/C29,0)</f>
        <v>340571.42857142858</v>
      </c>
      <c r="H28" s="39" t="s">
        <v>166</v>
      </c>
    </row>
    <row r="29" spans="2:8" ht="18" customHeight="1" x14ac:dyDescent="0.35">
      <c r="B29" s="40" t="s">
        <v>167</v>
      </c>
      <c r="C29" s="41">
        <f>SUM(C22:C28)</f>
        <v>7</v>
      </c>
      <c r="D29" s="42" t="s">
        <v>168</v>
      </c>
      <c r="F29" s="25" t="s">
        <v>169</v>
      </c>
      <c r="G29" s="38">
        <f>IF((C22+C23+C24+C25)&gt;0,C18/(C22+C23+C24+C25),0)</f>
        <v>596000</v>
      </c>
      <c r="H29" s="43" t="s">
        <v>170</v>
      </c>
    </row>
    <row r="30" spans="2:8" ht="18" customHeight="1" x14ac:dyDescent="0.35">
      <c r="B30" s="40" t="s">
        <v>171</v>
      </c>
      <c r="C30" s="44">
        <f>SUMPRODUCT(C22:C28,D22:D28)*1.32</f>
        <v>803880</v>
      </c>
      <c r="D30" s="45" t="s">
        <v>172</v>
      </c>
      <c r="F30" s="25" t="s">
        <v>173</v>
      </c>
      <c r="G30" s="46">
        <f>IF(C18&gt;0,G17/C18,0)</f>
        <v>0.48516778523489934</v>
      </c>
      <c r="H30" s="43" t="s">
        <v>174</v>
      </c>
    </row>
    <row r="31" spans="2:8" ht="16.5" customHeight="1" x14ac:dyDescent="0.35">
      <c r="F31" s="25" t="s">
        <v>175</v>
      </c>
      <c r="G31" s="46">
        <f>IF(C18&gt;0,(G17-G22)/C18,0)</f>
        <v>5.442953020134228E-2</v>
      </c>
      <c r="H31" s="43" t="s">
        <v>176</v>
      </c>
    </row>
    <row r="32" spans="2:8" ht="18" customHeight="1" x14ac:dyDescent="0.35">
      <c r="B32" s="259" t="s">
        <v>177</v>
      </c>
      <c r="C32" s="246"/>
      <c r="D32" s="246"/>
      <c r="F32" s="25" t="s">
        <v>178</v>
      </c>
      <c r="G32" s="47">
        <f>IF(C18&gt;0,(C15+C16+C17)/C18,0)</f>
        <v>0.75838926174496646</v>
      </c>
      <c r="H32" s="43" t="s">
        <v>179</v>
      </c>
    </row>
    <row r="33" spans="2:8" ht="16.5" customHeight="1" x14ac:dyDescent="0.35">
      <c r="B33" s="13" t="s">
        <v>180</v>
      </c>
      <c r="C33" s="24">
        <v>65000</v>
      </c>
      <c r="D33" s="48" t="s">
        <v>181</v>
      </c>
      <c r="F33" s="25" t="s">
        <v>182</v>
      </c>
      <c r="G33" s="47">
        <f>IF(C18&gt;0,C14/C18,0)</f>
        <v>0.24161073825503357</v>
      </c>
      <c r="H33" s="43" t="s">
        <v>183</v>
      </c>
    </row>
    <row r="34" spans="2:8" ht="16.5" customHeight="1" x14ac:dyDescent="0.35">
      <c r="B34" s="13" t="s">
        <v>184</v>
      </c>
      <c r="C34" s="24">
        <v>35000</v>
      </c>
      <c r="D34" s="48" t="s">
        <v>185</v>
      </c>
      <c r="F34" s="49"/>
      <c r="G34" s="49"/>
      <c r="H34" s="49"/>
    </row>
    <row r="35" spans="2:8" ht="16.5" customHeight="1" x14ac:dyDescent="0.35">
      <c r="B35" s="13" t="s">
        <v>186</v>
      </c>
      <c r="C35" s="24">
        <v>28000</v>
      </c>
      <c r="D35" s="48" t="s">
        <v>187</v>
      </c>
      <c r="F35" s="50" t="s">
        <v>188</v>
      </c>
      <c r="G35" s="50"/>
      <c r="H35" s="50"/>
    </row>
    <row r="36" spans="2:8" ht="16.5" customHeight="1" x14ac:dyDescent="0.35">
      <c r="B36" s="13" t="s">
        <v>189</v>
      </c>
      <c r="C36" s="24">
        <v>25000</v>
      </c>
      <c r="D36" s="48" t="s">
        <v>190</v>
      </c>
      <c r="F36" s="50" t="s">
        <v>191</v>
      </c>
      <c r="G36" s="51">
        <f>C14</f>
        <v>576000</v>
      </c>
      <c r="H36" s="50"/>
    </row>
    <row r="37" spans="2:8" ht="16.5" customHeight="1" x14ac:dyDescent="0.35">
      <c r="B37" s="13" t="s">
        <v>192</v>
      </c>
      <c r="C37" s="24">
        <v>42000</v>
      </c>
      <c r="D37" s="48" t="s">
        <v>193</v>
      </c>
      <c r="F37" s="50" t="s">
        <v>194</v>
      </c>
      <c r="G37" s="51">
        <f>C15</f>
        <v>1100000</v>
      </c>
      <c r="H37" s="50"/>
    </row>
    <row r="38" spans="2:8" ht="16.5" customHeight="1" x14ac:dyDescent="0.35">
      <c r="B38" s="13" t="s">
        <v>195</v>
      </c>
      <c r="C38" s="24">
        <v>28000</v>
      </c>
      <c r="D38" s="48" t="s">
        <v>196</v>
      </c>
    </row>
    <row r="39" spans="2:8" ht="19.5" customHeight="1" x14ac:dyDescent="0.35">
      <c r="B39" s="40" t="s">
        <v>197</v>
      </c>
      <c r="C39" s="44">
        <f>SUM(C33:C38)</f>
        <v>223000</v>
      </c>
      <c r="D39" s="52"/>
      <c r="F39" s="50" t="s">
        <v>130</v>
      </c>
      <c r="G39" s="51">
        <f>C16</f>
        <v>616000</v>
      </c>
      <c r="H39" s="49"/>
    </row>
    <row r="40" spans="2:8" ht="18" customHeight="1" x14ac:dyDescent="0.35">
      <c r="B40" s="246"/>
      <c r="C40" s="246"/>
      <c r="D40" s="246"/>
      <c r="F40" s="50" t="s">
        <v>198</v>
      </c>
      <c r="G40" s="51">
        <f>C17</f>
        <v>92000</v>
      </c>
      <c r="H40" s="49"/>
    </row>
    <row r="41" spans="2:8" ht="31.5" customHeight="1" x14ac:dyDescent="0.35">
      <c r="B41" s="256" t="s">
        <v>199</v>
      </c>
      <c r="C41" s="246"/>
      <c r="D41" s="246"/>
      <c r="F41" s="49"/>
      <c r="G41" s="49"/>
      <c r="H41" s="49"/>
    </row>
    <row r="42" spans="2:8" ht="16.5" customHeight="1" x14ac:dyDescent="0.35">
      <c r="B42" s="13" t="s">
        <v>200</v>
      </c>
      <c r="C42" s="53">
        <v>0.06</v>
      </c>
      <c r="D42" s="43" t="s">
        <v>201</v>
      </c>
      <c r="F42" s="49"/>
      <c r="G42" s="49"/>
      <c r="H42" s="49"/>
    </row>
    <row r="43" spans="2:8" ht="16.5" customHeight="1" x14ac:dyDescent="0.35">
      <c r="B43" s="13" t="s">
        <v>202</v>
      </c>
      <c r="C43" s="24">
        <v>800</v>
      </c>
      <c r="D43" s="48" t="s">
        <v>203</v>
      </c>
      <c r="F43" s="49"/>
      <c r="G43" s="49"/>
      <c r="H43" s="49"/>
    </row>
    <row r="44" spans="2:8" ht="16.5" customHeight="1" x14ac:dyDescent="0.35">
      <c r="B44" s="13" t="s">
        <v>204</v>
      </c>
      <c r="C44" s="53">
        <v>0.1</v>
      </c>
      <c r="D44" s="43" t="s">
        <v>205</v>
      </c>
      <c r="F44" s="49"/>
      <c r="G44" s="49"/>
      <c r="H44" s="49"/>
    </row>
    <row r="45" spans="2:8" ht="16.5" customHeight="1" x14ac:dyDescent="0.35">
      <c r="B45" s="13" t="s">
        <v>206</v>
      </c>
      <c r="C45" s="53">
        <v>0.56000000000000005</v>
      </c>
      <c r="D45" s="54" t="s">
        <v>207</v>
      </c>
      <c r="F45" s="49"/>
      <c r="G45" s="49"/>
      <c r="H45" s="49"/>
    </row>
    <row r="46" spans="2:8" ht="16.5" customHeight="1" x14ac:dyDescent="0.35">
      <c r="B46" s="13" t="s">
        <v>208</v>
      </c>
      <c r="C46" s="24">
        <v>40000</v>
      </c>
      <c r="D46" s="48" t="s">
        <v>209</v>
      </c>
      <c r="F46" s="49"/>
      <c r="G46" s="49"/>
      <c r="H46" s="49"/>
    </row>
    <row r="47" spans="2:8" ht="18" customHeight="1" x14ac:dyDescent="0.35">
      <c r="B47" s="262" t="s">
        <v>210</v>
      </c>
      <c r="C47" s="246"/>
      <c r="D47" s="246"/>
      <c r="E47" s="55"/>
      <c r="F47" s="56"/>
      <c r="G47" s="56"/>
      <c r="H47" s="56"/>
    </row>
    <row r="48" spans="2:8" ht="15.75" customHeight="1" x14ac:dyDescent="0.35">
      <c r="B48" s="57" t="s">
        <v>211</v>
      </c>
      <c r="C48" s="58" t="s">
        <v>212</v>
      </c>
      <c r="D48" s="58" t="s">
        <v>213</v>
      </c>
      <c r="E48" s="59"/>
      <c r="F48" s="56"/>
      <c r="G48" s="56"/>
      <c r="H48" s="56"/>
    </row>
    <row r="49" spans="2:9" ht="16.5" customHeight="1" x14ac:dyDescent="0.35">
      <c r="B49" s="60" t="s">
        <v>135</v>
      </c>
      <c r="C49" s="61">
        <f>C14</f>
        <v>576000</v>
      </c>
      <c r="D49" s="62" t="str">
        <f>TEXT(C14*C42,"$#,##0")&amp;"  ("&amp;TEXT(C42,"0.0%")&amp;")"</f>
        <v>$34,560  (6.0%)</v>
      </c>
      <c r="E49" s="63"/>
    </row>
    <row r="50" spans="2:9" ht="16.5" customHeight="1" x14ac:dyDescent="0.35">
      <c r="B50" s="60" t="s">
        <v>214</v>
      </c>
      <c r="C50" s="61">
        <f>C16</f>
        <v>616000</v>
      </c>
      <c r="D50" s="62" t="str">
        <f>TEXT(C16*C44,"$#,##0")&amp;"  ("&amp;TEXT(C44,"0.0%")&amp;")"</f>
        <v>$61,600  (10.0%)</v>
      </c>
      <c r="E50" s="63"/>
    </row>
    <row r="51" spans="2:9" ht="16.5" customHeight="1" x14ac:dyDescent="0.35">
      <c r="B51" s="60" t="s">
        <v>137</v>
      </c>
      <c r="C51" s="61">
        <f>C15</f>
        <v>1100000</v>
      </c>
      <c r="D51" s="64" t="s">
        <v>215</v>
      </c>
      <c r="E51" s="65"/>
    </row>
    <row r="52" spans="2:9" ht="16.5" customHeight="1" x14ac:dyDescent="0.35">
      <c r="B52" s="60" t="s">
        <v>216</v>
      </c>
      <c r="C52" s="61">
        <f>C17</f>
        <v>92000</v>
      </c>
      <c r="D52" s="62" t="str">
        <f>TEXT(C17*(1-C45),"$#,##0")&amp;"  ("&amp;TEXT(1-C45,"0.0%")&amp;")"</f>
        <v>$40,480  (44.0%)</v>
      </c>
      <c r="E52" s="63"/>
    </row>
    <row r="53" spans="2:9" ht="4.5" customHeight="1" x14ac:dyDescent="0.35">
      <c r="E53" s="55"/>
    </row>
    <row r="54" spans="2:9" ht="27.75" customHeight="1" x14ac:dyDescent="0.35">
      <c r="B54" s="263" t="s">
        <v>217</v>
      </c>
      <c r="C54" s="246"/>
      <c r="D54" s="246"/>
      <c r="E54" s="55"/>
    </row>
    <row r="55" spans="2:9" ht="27.75" customHeight="1" x14ac:dyDescent="0.35">
      <c r="B55" s="255" t="s">
        <v>218</v>
      </c>
      <c r="C55" s="246"/>
      <c r="D55" s="246"/>
      <c r="E55" s="246"/>
      <c r="F55" s="246"/>
      <c r="G55" s="246"/>
      <c r="H55" s="246"/>
      <c r="I55" s="246"/>
    </row>
    <row r="56" spans="2:9" ht="18" customHeight="1" x14ac:dyDescent="0.35">
      <c r="B56" s="251" t="str">
        <f>IF(C8=0,"⚠  Enter customer count in row 8 to activate the model.",IF(C42&gt;0.15,"⚠  M365 margin &gt; 15% — verify with your TD SYNNEX rep.",IF(C44&gt;0.2,"⚠  Azure margin &gt; 20% — verify with your TD SYNNEX rep.","✓  All inputs look reasonable. Your P&amp;L is live.")))</f>
        <v>✓  All inputs look reasonable. Your P&amp;L is live.</v>
      </c>
      <c r="C56" s="246"/>
      <c r="D56" s="246"/>
      <c r="E56" s="246"/>
      <c r="F56" s="246"/>
      <c r="G56" s="246"/>
      <c r="H56" s="246"/>
      <c r="I56" s="246"/>
    </row>
  </sheetData>
  <mergeCells count="18">
    <mergeCell ref="B2:I2"/>
    <mergeCell ref="F27:H27"/>
    <mergeCell ref="B32:D32"/>
    <mergeCell ref="B40:D40"/>
    <mergeCell ref="B3:I3"/>
    <mergeCell ref="B13:D13"/>
    <mergeCell ref="F7:H7"/>
    <mergeCell ref="B7:D7"/>
    <mergeCell ref="F15:H15"/>
    <mergeCell ref="B20:D20"/>
    <mergeCell ref="F25:H25"/>
    <mergeCell ref="B56:I56"/>
    <mergeCell ref="F24:G24"/>
    <mergeCell ref="F19:H19"/>
    <mergeCell ref="B55:I55"/>
    <mergeCell ref="B41:D41"/>
    <mergeCell ref="B47:D47"/>
    <mergeCell ref="B54:D54"/>
  </mergeCells>
  <pageMargins left="0.75" right="0.75" top="1" bottom="1"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F6B"/>
  </sheetPr>
  <dimension ref="A1:M60"/>
  <sheetViews>
    <sheetView showGridLines="0" zoomScale="90" zoomScaleNormal="90" workbookViewId="0">
      <selection activeCell="A22" sqref="A22"/>
    </sheetView>
  </sheetViews>
  <sheetFormatPr defaultColWidth="8.6328125" defaultRowHeight="14.5" x14ac:dyDescent="0.35"/>
  <cols>
    <col min="1" max="1" width="0.81640625" customWidth="1"/>
    <col min="2" max="2" width="34" customWidth="1"/>
    <col min="3" max="6" width="12" customWidth="1"/>
    <col min="7" max="7" width="6.54296875" customWidth="1"/>
    <col min="8" max="10" width="14" customWidth="1"/>
    <col min="11" max="11" width="0.81640625" customWidth="1"/>
  </cols>
  <sheetData>
    <row r="1" spans="2:10" ht="6" customHeight="1" x14ac:dyDescent="0.35"/>
    <row r="2" spans="2:10" ht="33.75" customHeight="1" x14ac:dyDescent="0.35">
      <c r="B2" s="257" t="s">
        <v>0</v>
      </c>
      <c r="C2" s="246"/>
      <c r="D2" s="246"/>
      <c r="E2" s="246"/>
      <c r="F2" s="246"/>
      <c r="G2" s="246"/>
      <c r="H2" s="246"/>
      <c r="I2" s="246"/>
      <c r="J2" s="246"/>
    </row>
    <row r="3" spans="2:10" ht="18" customHeight="1" x14ac:dyDescent="0.35">
      <c r="B3" s="260" t="s">
        <v>219</v>
      </c>
      <c r="C3" s="246"/>
      <c r="D3" s="246"/>
      <c r="E3" s="246"/>
      <c r="F3" s="246"/>
      <c r="G3" s="246"/>
      <c r="H3" s="246"/>
      <c r="I3" s="246"/>
      <c r="J3" s="246"/>
    </row>
    <row r="4" spans="2:10" ht="4.5" customHeight="1" x14ac:dyDescent="0.35"/>
    <row r="5" spans="2:10" ht="21.75" customHeight="1" x14ac:dyDescent="0.35">
      <c r="B5" s="250" t="s">
        <v>220</v>
      </c>
      <c r="C5" s="246"/>
      <c r="D5" s="246"/>
      <c r="E5" s="246"/>
      <c r="F5" s="246"/>
      <c r="G5" s="246"/>
      <c r="H5" s="246"/>
      <c r="I5" s="246"/>
      <c r="J5" s="246"/>
    </row>
    <row r="6" spans="2:10" ht="15.75" customHeight="1" x14ac:dyDescent="0.35">
      <c r="B6" s="32" t="s">
        <v>221</v>
      </c>
      <c r="C6" s="33" t="s">
        <v>222</v>
      </c>
      <c r="D6" s="33" t="s">
        <v>223</v>
      </c>
      <c r="E6" s="33" t="s">
        <v>224</v>
      </c>
      <c r="F6" s="33" t="s">
        <v>225</v>
      </c>
      <c r="G6" s="33"/>
      <c r="H6" s="33" t="s">
        <v>226</v>
      </c>
      <c r="I6" s="33" t="s">
        <v>227</v>
      </c>
      <c r="J6" s="33" t="s">
        <v>228</v>
      </c>
    </row>
    <row r="7" spans="2:10" ht="18" customHeight="1" x14ac:dyDescent="0.35">
      <c r="B7" s="13" t="s">
        <v>229</v>
      </c>
      <c r="C7" s="8">
        <v>15</v>
      </c>
      <c r="D7" s="8">
        <v>50</v>
      </c>
      <c r="E7" s="24">
        <v>12</v>
      </c>
      <c r="F7" s="26">
        <f>C7*D7*E7</f>
        <v>9000</v>
      </c>
      <c r="G7" s="66" t="s">
        <v>230</v>
      </c>
      <c r="H7" s="26">
        <f>F7*12</f>
        <v>108000</v>
      </c>
      <c r="I7" s="53">
        <v>0.48</v>
      </c>
      <c r="J7" s="26">
        <f>H7*I7</f>
        <v>51840</v>
      </c>
    </row>
    <row r="8" spans="2:10" ht="15.75" customHeight="1" x14ac:dyDescent="0.35">
      <c r="B8" s="269" t="s">
        <v>231</v>
      </c>
      <c r="C8" s="246"/>
      <c r="D8" s="246"/>
      <c r="E8" s="246"/>
      <c r="F8" s="246"/>
      <c r="G8" s="246"/>
      <c r="H8" s="246"/>
      <c r="I8" s="246"/>
      <c r="J8" s="246"/>
    </row>
    <row r="9" spans="2:10" ht="9.75" customHeight="1" x14ac:dyDescent="0.35"/>
    <row r="10" spans="2:10" ht="21.75" customHeight="1" x14ac:dyDescent="0.35">
      <c r="B10" s="265" t="s">
        <v>232</v>
      </c>
      <c r="C10" s="246"/>
      <c r="D10" s="246"/>
      <c r="E10" s="246"/>
      <c r="F10" s="246"/>
      <c r="G10" s="246"/>
      <c r="H10" s="246"/>
      <c r="I10" s="246"/>
      <c r="J10" s="246"/>
    </row>
    <row r="11" spans="2:10" ht="15.75" customHeight="1" x14ac:dyDescent="0.35">
      <c r="B11" s="32" t="s">
        <v>221</v>
      </c>
      <c r="C11" s="33" t="s">
        <v>222</v>
      </c>
      <c r="D11" s="33" t="s">
        <v>223</v>
      </c>
      <c r="E11" s="33" t="s">
        <v>224</v>
      </c>
      <c r="F11" s="33" t="s">
        <v>225</v>
      </c>
      <c r="G11" s="33"/>
      <c r="H11" s="33" t="s">
        <v>226</v>
      </c>
      <c r="I11" s="33" t="s">
        <v>227</v>
      </c>
      <c r="J11" s="33" t="s">
        <v>228</v>
      </c>
    </row>
    <row r="12" spans="2:10" ht="18" customHeight="1" x14ac:dyDescent="0.35">
      <c r="B12" s="13" t="s">
        <v>233</v>
      </c>
      <c r="C12" s="8">
        <v>5</v>
      </c>
      <c r="D12" s="8">
        <v>50</v>
      </c>
      <c r="E12" s="68">
        <v>12</v>
      </c>
      <c r="F12" s="26">
        <f>C12*D12*E12</f>
        <v>3000</v>
      </c>
      <c r="G12" s="66" t="s">
        <v>230</v>
      </c>
      <c r="H12" s="26">
        <f>F12*12</f>
        <v>36000</v>
      </c>
      <c r="I12" s="69">
        <v>0.45</v>
      </c>
      <c r="J12" s="26">
        <f>H12*I12</f>
        <v>16200</v>
      </c>
    </row>
    <row r="13" spans="2:10" ht="15.75" customHeight="1" x14ac:dyDescent="0.35">
      <c r="B13" s="269" t="s">
        <v>234</v>
      </c>
      <c r="C13" s="246"/>
      <c r="D13" s="246"/>
      <c r="E13" s="246"/>
      <c r="F13" s="246"/>
      <c r="G13" s="246"/>
      <c r="H13" s="246"/>
      <c r="I13" s="246"/>
      <c r="J13" s="246"/>
    </row>
    <row r="14" spans="2:10" ht="9.75" customHeight="1" x14ac:dyDescent="0.35"/>
    <row r="15" spans="2:10" ht="21.75" customHeight="1" x14ac:dyDescent="0.35">
      <c r="B15" s="258" t="s">
        <v>235</v>
      </c>
      <c r="C15" s="246"/>
      <c r="D15" s="246"/>
      <c r="E15" s="246"/>
      <c r="F15" s="246"/>
      <c r="G15" s="246"/>
      <c r="H15" s="246"/>
      <c r="I15" s="246"/>
      <c r="J15" s="246"/>
    </row>
    <row r="16" spans="2:10" ht="15.75" customHeight="1" x14ac:dyDescent="0.35">
      <c r="B16" s="32" t="s">
        <v>221</v>
      </c>
      <c r="C16" s="33" t="s">
        <v>222</v>
      </c>
      <c r="D16" s="33" t="s">
        <v>223</v>
      </c>
      <c r="E16" s="33" t="s">
        <v>224</v>
      </c>
      <c r="F16" s="33" t="s">
        <v>225</v>
      </c>
      <c r="G16" s="33"/>
      <c r="H16" s="33" t="s">
        <v>226</v>
      </c>
      <c r="I16" s="33" t="s">
        <v>227</v>
      </c>
      <c r="J16" s="33" t="s">
        <v>228</v>
      </c>
    </row>
    <row r="17" spans="1:10" ht="18" customHeight="1" x14ac:dyDescent="0.35">
      <c r="B17" s="13" t="s">
        <v>236</v>
      </c>
      <c r="C17" s="8">
        <v>1</v>
      </c>
      <c r="D17" s="8">
        <v>75</v>
      </c>
      <c r="E17" s="68">
        <v>15</v>
      </c>
      <c r="F17" s="26">
        <f>C17*D17*E17</f>
        <v>1125</v>
      </c>
      <c r="G17" s="66" t="s">
        <v>230</v>
      </c>
      <c r="H17" s="26">
        <f>F17*12</f>
        <v>13500</v>
      </c>
      <c r="I17" s="69">
        <v>0.41</v>
      </c>
      <c r="J17" s="26">
        <f>H17*I17</f>
        <v>5535</v>
      </c>
    </row>
    <row r="18" spans="1:10" ht="15.75" customHeight="1" x14ac:dyDescent="0.35">
      <c r="B18" s="267" t="s">
        <v>237</v>
      </c>
      <c r="C18" s="246"/>
      <c r="D18" s="246"/>
      <c r="E18" s="246"/>
      <c r="F18" s="246"/>
      <c r="G18" s="246"/>
      <c r="H18" s="246"/>
      <c r="I18" s="246"/>
      <c r="J18" s="246"/>
    </row>
    <row r="19" spans="1:10" ht="21.75" customHeight="1" x14ac:dyDescent="0.35">
      <c r="B19" s="245" t="s">
        <v>238</v>
      </c>
      <c r="C19" s="246"/>
      <c r="D19" s="246"/>
      <c r="E19" s="246"/>
      <c r="F19" s="246"/>
      <c r="G19" s="246"/>
      <c r="H19" s="246"/>
      <c r="I19" s="246"/>
      <c r="J19" s="246"/>
    </row>
    <row r="20" spans="1:10" ht="15.75" customHeight="1" x14ac:dyDescent="0.35">
      <c r="B20" s="71" t="s">
        <v>221</v>
      </c>
      <c r="C20" s="72" t="s">
        <v>222</v>
      </c>
      <c r="D20" s="72" t="s">
        <v>239</v>
      </c>
      <c r="E20" s="72" t="s">
        <v>240</v>
      </c>
      <c r="F20" s="72" t="s">
        <v>225</v>
      </c>
      <c r="G20" s="73" t="s">
        <v>230</v>
      </c>
      <c r="H20" s="72" t="s">
        <v>226</v>
      </c>
      <c r="I20" s="72" t="s">
        <v>227</v>
      </c>
      <c r="J20" s="72" t="s">
        <v>228</v>
      </c>
    </row>
    <row r="21" spans="1:10" ht="18" customHeight="1" x14ac:dyDescent="0.35">
      <c r="A21" s="240" t="s">
        <v>241</v>
      </c>
      <c r="B21" s="74" t="s">
        <v>242</v>
      </c>
      <c r="C21" s="241">
        <f>C12</f>
        <v>5</v>
      </c>
      <c r="D21" s="242">
        <v>3</v>
      </c>
      <c r="E21" s="243">
        <v>350</v>
      </c>
      <c r="F21" s="76">
        <f>C21*D21*E21</f>
        <v>5250</v>
      </c>
      <c r="G21" s="66" t="s">
        <v>230</v>
      </c>
      <c r="H21" s="76">
        <f>F21*12</f>
        <v>63000</v>
      </c>
      <c r="I21" s="244">
        <v>0.55000000000000004</v>
      </c>
      <c r="J21" s="76">
        <f>H21*I21</f>
        <v>34650</v>
      </c>
    </row>
    <row r="22" spans="1:10" ht="18" customHeight="1" x14ac:dyDescent="0.35">
      <c r="A22" s="240" t="s">
        <v>243</v>
      </c>
      <c r="B22" s="74" t="s">
        <v>244</v>
      </c>
      <c r="C22" s="241">
        <f>C17</f>
        <v>1</v>
      </c>
      <c r="D22" s="242">
        <v>6</v>
      </c>
      <c r="E22" s="243">
        <v>400</v>
      </c>
      <c r="F22" s="76">
        <f>C22*D22*E22</f>
        <v>2400</v>
      </c>
      <c r="G22" s="66" t="s">
        <v>230</v>
      </c>
      <c r="H22" s="76">
        <f>F22*12</f>
        <v>28800</v>
      </c>
      <c r="I22" s="244">
        <v>0.55000000000000004</v>
      </c>
      <c r="J22" s="76">
        <f>H22*I22</f>
        <v>15840.000000000002</v>
      </c>
    </row>
    <row r="23" spans="1:10" ht="21.75" customHeight="1" x14ac:dyDescent="0.35">
      <c r="B23" s="268" t="s">
        <v>245</v>
      </c>
      <c r="C23" s="246"/>
      <c r="D23" s="246"/>
      <c r="E23" s="246"/>
      <c r="F23" s="246"/>
      <c r="G23" s="246"/>
      <c r="H23" s="246"/>
      <c r="I23" s="246"/>
      <c r="J23" s="246"/>
    </row>
    <row r="24" spans="1:10" ht="15.75" customHeight="1" x14ac:dyDescent="0.35">
      <c r="B24" s="71" t="s">
        <v>221</v>
      </c>
      <c r="C24" s="72" t="s">
        <v>222</v>
      </c>
      <c r="D24" s="72" t="s">
        <v>223</v>
      </c>
      <c r="E24" s="72" t="s">
        <v>224</v>
      </c>
      <c r="F24" s="72" t="s">
        <v>225</v>
      </c>
      <c r="G24" s="73" t="s">
        <v>230</v>
      </c>
      <c r="H24" s="72" t="s">
        <v>226</v>
      </c>
      <c r="I24" s="72" t="s">
        <v>227</v>
      </c>
      <c r="J24" s="72" t="s">
        <v>228</v>
      </c>
    </row>
    <row r="25" spans="1:10" ht="18" customHeight="1" x14ac:dyDescent="0.35">
      <c r="B25" s="74" t="s">
        <v>246</v>
      </c>
      <c r="C25" s="75">
        <f>C17</f>
        <v>1</v>
      </c>
      <c r="D25" s="75">
        <f>D17</f>
        <v>75</v>
      </c>
      <c r="E25" s="243">
        <v>10</v>
      </c>
      <c r="F25" s="76">
        <f>C25*D25*E25</f>
        <v>750</v>
      </c>
      <c r="G25" s="66" t="s">
        <v>230</v>
      </c>
      <c r="H25" s="76">
        <f>F25*12</f>
        <v>9000</v>
      </c>
      <c r="I25" s="244">
        <v>0.5</v>
      </c>
      <c r="J25" s="76">
        <f>H25*I25</f>
        <v>4500</v>
      </c>
    </row>
    <row r="26" spans="1:10" ht="21.75" customHeight="1" x14ac:dyDescent="0.35">
      <c r="B26" s="266" t="s">
        <v>247</v>
      </c>
      <c r="C26" s="246"/>
      <c r="D26" s="246"/>
      <c r="E26" s="246"/>
      <c r="F26" s="246"/>
      <c r="G26" s="246"/>
      <c r="H26" s="246"/>
      <c r="I26" s="246"/>
      <c r="J26" s="246"/>
    </row>
    <row r="27" spans="1:10" ht="15.75" customHeight="1" x14ac:dyDescent="0.35">
      <c r="B27" s="77" t="s">
        <v>221</v>
      </c>
      <c r="C27" s="73" t="s">
        <v>222</v>
      </c>
      <c r="D27" s="73" t="s">
        <v>248</v>
      </c>
      <c r="E27" s="73" t="s">
        <v>249</v>
      </c>
      <c r="F27" s="73" t="s">
        <v>225</v>
      </c>
      <c r="G27" s="73" t="s">
        <v>230</v>
      </c>
      <c r="H27" s="72" t="s">
        <v>226</v>
      </c>
      <c r="I27" s="72" t="s">
        <v>227</v>
      </c>
      <c r="J27" s="72" t="s">
        <v>228</v>
      </c>
    </row>
    <row r="28" spans="1:10" ht="18" customHeight="1" x14ac:dyDescent="0.35">
      <c r="B28" s="74" t="s">
        <v>250</v>
      </c>
      <c r="C28" s="75">
        <f>C12</f>
        <v>5</v>
      </c>
      <c r="D28" s="243">
        <v>250</v>
      </c>
      <c r="E28" s="244">
        <v>0.3</v>
      </c>
      <c r="F28" s="76">
        <f>C28*D28*E28</f>
        <v>375</v>
      </c>
      <c r="G28" s="66" t="s">
        <v>230</v>
      </c>
      <c r="H28" s="76">
        <f>F28*12</f>
        <v>4500</v>
      </c>
      <c r="I28" s="244">
        <v>0.85</v>
      </c>
      <c r="J28" s="76">
        <f>H28*I28</f>
        <v>3825</v>
      </c>
    </row>
    <row r="29" spans="1:10" ht="21.75" customHeight="1" x14ac:dyDescent="0.35">
      <c r="B29" s="74" t="s">
        <v>251</v>
      </c>
      <c r="C29" s="75">
        <f>C17</f>
        <v>1</v>
      </c>
      <c r="D29" s="243">
        <v>500</v>
      </c>
      <c r="E29" s="244">
        <v>0.3</v>
      </c>
      <c r="F29" s="76">
        <f>C29*D29*E29</f>
        <v>150</v>
      </c>
      <c r="G29" s="66" t="s">
        <v>230</v>
      </c>
      <c r="H29" s="76">
        <f>F29*12</f>
        <v>1800</v>
      </c>
      <c r="I29" s="244">
        <v>0.85</v>
      </c>
      <c r="J29" s="76">
        <f>H29*I29</f>
        <v>1530</v>
      </c>
    </row>
    <row r="30" spans="1:10" ht="15.75" customHeight="1" x14ac:dyDescent="0.35">
      <c r="B30" s="2" t="s">
        <v>252</v>
      </c>
    </row>
    <row r="31" spans="1:10" ht="16.5" customHeight="1" x14ac:dyDescent="0.35">
      <c r="B31" s="32" t="s">
        <v>253</v>
      </c>
      <c r="C31" s="33" t="s">
        <v>254</v>
      </c>
      <c r="D31" s="33" t="s">
        <v>255</v>
      </c>
      <c r="E31" s="33"/>
      <c r="F31" s="33" t="s">
        <v>256</v>
      </c>
      <c r="G31" s="33"/>
      <c r="H31" s="33" t="s">
        <v>227</v>
      </c>
      <c r="I31" s="33"/>
      <c r="J31" s="33" t="s">
        <v>228</v>
      </c>
    </row>
    <row r="32" spans="1:10" ht="16.5" customHeight="1" x14ac:dyDescent="0.35">
      <c r="B32" s="13" t="s">
        <v>257</v>
      </c>
      <c r="C32" s="8">
        <v>12</v>
      </c>
      <c r="D32" s="24">
        <v>3500</v>
      </c>
      <c r="F32" s="76">
        <f>C32*D32</f>
        <v>42000</v>
      </c>
      <c r="H32" s="53">
        <v>0.6</v>
      </c>
      <c r="J32" s="76">
        <f>F32*H32</f>
        <v>25200</v>
      </c>
    </row>
    <row r="33" spans="2:10" ht="16.5" customHeight="1" x14ac:dyDescent="0.35">
      <c r="B33" s="13" t="s">
        <v>258</v>
      </c>
      <c r="C33" s="8">
        <v>8</v>
      </c>
      <c r="D33" s="24">
        <v>4500</v>
      </c>
      <c r="F33" s="76">
        <f>C33*D33</f>
        <v>36000</v>
      </c>
      <c r="H33" s="53">
        <v>0.6</v>
      </c>
      <c r="J33" s="76">
        <f>F33*H33</f>
        <v>21600</v>
      </c>
    </row>
    <row r="34" spans="2:10" ht="16.5" customHeight="1" x14ac:dyDescent="0.35">
      <c r="B34" s="13" t="s">
        <v>259</v>
      </c>
      <c r="C34" s="8">
        <v>12</v>
      </c>
      <c r="D34" s="24">
        <v>6500</v>
      </c>
      <c r="F34" s="76">
        <f>C34*D34</f>
        <v>78000</v>
      </c>
      <c r="H34" s="53">
        <v>0.35</v>
      </c>
      <c r="J34" s="76">
        <f>F34*H34</f>
        <v>27300</v>
      </c>
    </row>
    <row r="35" spans="2:10" ht="16.5" customHeight="1" x14ac:dyDescent="0.35">
      <c r="B35" s="13" t="s">
        <v>260</v>
      </c>
      <c r="C35" s="242">
        <v>3</v>
      </c>
      <c r="D35" s="243">
        <v>18000</v>
      </c>
      <c r="F35" s="76">
        <f>C35*D35</f>
        <v>54000</v>
      </c>
      <c r="H35" s="244">
        <v>0.28000000000000003</v>
      </c>
      <c r="J35" s="76">
        <f>F35*H35</f>
        <v>15120.000000000002</v>
      </c>
    </row>
    <row r="36" spans="2:10" ht="9.75" customHeight="1" x14ac:dyDescent="0.35">
      <c r="B36" s="78" t="s">
        <v>261</v>
      </c>
      <c r="C36" s="242">
        <v>1</v>
      </c>
      <c r="D36" s="243">
        <v>30000</v>
      </c>
      <c r="F36" s="76">
        <f>C36*D36</f>
        <v>30000</v>
      </c>
      <c r="H36" s="244">
        <v>1</v>
      </c>
      <c r="J36" s="76">
        <f>F36*H36</f>
        <v>30000</v>
      </c>
    </row>
    <row r="37" spans="2:10" ht="21.75" customHeight="1" x14ac:dyDescent="0.35">
      <c r="H37" s="79"/>
    </row>
    <row r="38" spans="2:10" ht="16.5" customHeight="1" x14ac:dyDescent="0.35">
      <c r="B38" s="67" t="s">
        <v>262</v>
      </c>
    </row>
    <row r="39" spans="2:10" ht="16.5" customHeight="1" x14ac:dyDescent="0.35">
      <c r="B39" s="13" t="s">
        <v>263</v>
      </c>
      <c r="F39" s="80"/>
      <c r="H39" s="76">
        <f>H7+H12+H17+H21+H22+H25+H28+H29</f>
        <v>264600</v>
      </c>
      <c r="I39" s="81"/>
      <c r="J39" s="80"/>
    </row>
    <row r="40" spans="2:10" ht="24" customHeight="1" x14ac:dyDescent="0.35">
      <c r="B40" s="13" t="s">
        <v>264</v>
      </c>
      <c r="F40" s="76">
        <f>SUM(F32:F36)</f>
        <v>240000</v>
      </c>
      <c r="H40" s="82">
        <f>SUM(F32:F36)</f>
        <v>240000</v>
      </c>
      <c r="I40" s="81"/>
      <c r="J40" s="80"/>
    </row>
    <row r="41" spans="2:10" ht="9.75" customHeight="1" x14ac:dyDescent="0.35">
      <c r="B41" s="20" t="s">
        <v>265</v>
      </c>
      <c r="F41" s="80"/>
      <c r="H41" s="83">
        <f>H39+H40</f>
        <v>504600</v>
      </c>
      <c r="I41" s="84">
        <f>IF(H41&gt;0,J41/H41,0)</f>
        <v>0.50166468489892979</v>
      </c>
      <c r="J41" s="85">
        <f>J7+J12+J17+J21+J22+J25+J28+J29+SUM(J32:J36)</f>
        <v>253140</v>
      </c>
    </row>
    <row r="42" spans="2:10" ht="21.75" customHeight="1" x14ac:dyDescent="0.35"/>
    <row r="43" spans="2:10" ht="15.75" customHeight="1" x14ac:dyDescent="0.35">
      <c r="B43" s="1" t="s">
        <v>266</v>
      </c>
    </row>
    <row r="44" spans="2:10" ht="18" customHeight="1" x14ac:dyDescent="0.35">
      <c r="B44" s="86" t="s">
        <v>267</v>
      </c>
    </row>
    <row r="45" spans="2:10" ht="18" customHeight="1" x14ac:dyDescent="0.35">
      <c r="B45" s="13" t="s">
        <v>268</v>
      </c>
      <c r="H45" s="87">
        <f>'1 · Your Business Today'!D24</f>
        <v>115000</v>
      </c>
    </row>
    <row r="46" spans="2:10" ht="18" customHeight="1" x14ac:dyDescent="0.35">
      <c r="B46" s="13" t="s">
        <v>269</v>
      </c>
      <c r="H46" s="87">
        <f>'1 · Your Business Today'!C24*'1 · Your Business Today'!D24*1.32</f>
        <v>0</v>
      </c>
    </row>
    <row r="47" spans="2:10" ht="18" customHeight="1" x14ac:dyDescent="0.35">
      <c r="B47" s="13" t="s">
        <v>270</v>
      </c>
      <c r="H47" s="76">
        <f>H41</f>
        <v>504600</v>
      </c>
    </row>
    <row r="48" spans="2:10" ht="18" customHeight="1" x14ac:dyDescent="0.35">
      <c r="B48" s="13" t="s">
        <v>271</v>
      </c>
      <c r="H48" s="76">
        <f>H47-H46</f>
        <v>504600</v>
      </c>
    </row>
    <row r="49" spans="2:13" ht="18" customHeight="1" x14ac:dyDescent="0.35">
      <c r="B49" s="78" t="s">
        <v>272</v>
      </c>
      <c r="H49">
        <f>IF((H12+H17+H21+H22+F34+F35)&gt;0,H46/((H12+H17+H21+H22+F34+F35)/12),0)</f>
        <v>0</v>
      </c>
    </row>
    <row r="50" spans="2:13" ht="13.5" customHeight="1" x14ac:dyDescent="0.35">
      <c r="B50" s="246"/>
      <c r="C50" s="246"/>
      <c r="D50" s="246"/>
      <c r="E50" s="246"/>
      <c r="F50" s="246"/>
      <c r="G50" s="246"/>
      <c r="H50" s="246"/>
      <c r="I50" s="88" t="s">
        <v>273</v>
      </c>
      <c r="J50" s="89" t="s">
        <v>274</v>
      </c>
    </row>
    <row r="51" spans="2:13" ht="15" customHeight="1" x14ac:dyDescent="0.35">
      <c r="I51" s="72" t="s">
        <v>275</v>
      </c>
      <c r="J51" s="72" t="s">
        <v>226</v>
      </c>
    </row>
    <row r="52" spans="2:13" ht="15" customHeight="1" x14ac:dyDescent="0.35">
      <c r="I52" s="90" t="s">
        <v>276</v>
      </c>
      <c r="J52" s="91">
        <f>H12</f>
        <v>36000</v>
      </c>
    </row>
    <row r="53" spans="2:13" ht="15" customHeight="1" x14ac:dyDescent="0.35">
      <c r="I53" s="90" t="s">
        <v>277</v>
      </c>
      <c r="J53" s="91">
        <f>H17</f>
        <v>13500</v>
      </c>
      <c r="L53" s="92"/>
      <c r="M53" s="93"/>
    </row>
    <row r="54" spans="2:13" ht="15" customHeight="1" x14ac:dyDescent="0.35">
      <c r="I54" s="90" t="s">
        <v>278</v>
      </c>
      <c r="J54" s="91">
        <f>SUM(F32:F36)</f>
        <v>240000</v>
      </c>
      <c r="L54" s="92"/>
      <c r="M54" s="93"/>
    </row>
    <row r="55" spans="2:13" ht="15" customHeight="1" x14ac:dyDescent="0.35">
      <c r="I55" s="90" t="s">
        <v>279</v>
      </c>
      <c r="J55" s="91">
        <f>H21+H22</f>
        <v>91800</v>
      </c>
      <c r="L55" s="92"/>
      <c r="M55" s="93"/>
    </row>
    <row r="56" spans="2:13" ht="27.75" customHeight="1" x14ac:dyDescent="0.35">
      <c r="B56" s="94"/>
      <c r="I56" s="90" t="s">
        <v>280</v>
      </c>
      <c r="J56" s="91">
        <f>H28+H29+H25</f>
        <v>15300</v>
      </c>
      <c r="L56" s="92"/>
      <c r="M56" s="93"/>
    </row>
    <row r="57" spans="2:13" ht="27.75" customHeight="1" x14ac:dyDescent="0.35">
      <c r="B57" s="70" t="s">
        <v>281</v>
      </c>
      <c r="I57" s="90"/>
      <c r="J57" s="91"/>
      <c r="L57" s="92"/>
      <c r="M57" s="93"/>
    </row>
    <row r="58" spans="2:13" ht="27.75" customHeight="1" x14ac:dyDescent="0.35">
      <c r="B58" s="95" t="str">
        <f>IF(H41&gt;=500000,"✓  Copilot practice ARR ≥ $500K — strong foundation.","⚠  Build toward 25+ Tier 1 customers to reach $500K ARR milestone.")</f>
        <v>✓  Copilot practice ARR ≥ $500K — strong foundation.</v>
      </c>
    </row>
    <row r="59" spans="2:13" ht="27.75" customHeight="1" x14ac:dyDescent="0.35">
      <c r="B59" s="95" t="str">
        <f>IF(H49&lt;36,"✓  AI Specialist payback &lt; 36 months — hire supports itself.","⚠  Long payback — consider co-delivery via TD SYNNEX ServiceSolv first.")</f>
        <v>✓  AI Specialist payback &lt; 36 months — hire supports itself.</v>
      </c>
    </row>
    <row r="60" spans="2:13" ht="14.25" customHeight="1" x14ac:dyDescent="0.35">
      <c r="B60" s="95" t="str">
        <f>IF(H7&gt;0,"✓  Tier 1 ARR active — practice is live.","⚠  Enter Tier 1 customers in row 7 to start modeling.")</f>
        <v>✓  Tier 1 ARR active — practice is live.</v>
      </c>
    </row>
  </sheetData>
  <mergeCells count="12">
    <mergeCell ref="B2:J2"/>
    <mergeCell ref="B15:J15"/>
    <mergeCell ref="B50:H50"/>
    <mergeCell ref="B19:J19"/>
    <mergeCell ref="B3:J3"/>
    <mergeCell ref="B5:J5"/>
    <mergeCell ref="B10:J10"/>
    <mergeCell ref="B26:J26"/>
    <mergeCell ref="B18:J18"/>
    <mergeCell ref="B23:J23"/>
    <mergeCell ref="B8:J8"/>
    <mergeCell ref="B13:J13"/>
  </mergeCells>
  <pageMargins left="0.75" right="0.75" top="1" bottom="1" header="0.511811023622047" footer="0.511811023622047"/>
  <pageSetup paperSize="9" orientation="portrait" horizontalDpi="300" verticalDpi="30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A7A6E"/>
  </sheetPr>
  <dimension ref="A1:H54"/>
  <sheetViews>
    <sheetView showGridLines="0" topLeftCell="A25" zoomScale="90" zoomScaleNormal="90" workbookViewId="0">
      <selection activeCell="A25" sqref="A25"/>
    </sheetView>
  </sheetViews>
  <sheetFormatPr defaultColWidth="8.6328125" defaultRowHeight="14.5" x14ac:dyDescent="0.35"/>
  <cols>
    <col min="1" max="1" width="0.81640625" customWidth="1"/>
    <col min="2" max="2" width="38" customWidth="1"/>
    <col min="3" max="3" width="16" customWidth="1"/>
    <col min="4" max="4" width="14" customWidth="1"/>
    <col min="5" max="5" width="16" customWidth="1"/>
    <col min="6" max="7" width="14" customWidth="1"/>
    <col min="8" max="8" width="45" customWidth="1"/>
    <col min="9" max="9" width="0.81640625" customWidth="1"/>
    <col min="10" max="10" width="14" customWidth="1"/>
  </cols>
  <sheetData>
    <row r="1" spans="2:8" ht="6" customHeight="1" x14ac:dyDescent="0.35"/>
    <row r="2" spans="2:8" ht="33.75" customHeight="1" x14ac:dyDescent="0.35">
      <c r="B2" s="257" t="s">
        <v>0</v>
      </c>
      <c r="C2" s="246"/>
      <c r="D2" s="246"/>
      <c r="E2" s="246"/>
      <c r="F2" s="246"/>
      <c r="G2" s="246"/>
      <c r="H2" s="246"/>
    </row>
    <row r="3" spans="2:8" ht="18" customHeight="1" x14ac:dyDescent="0.35">
      <c r="B3" s="260" t="s">
        <v>282</v>
      </c>
      <c r="C3" s="246"/>
      <c r="D3" s="246"/>
      <c r="E3" s="246"/>
      <c r="F3" s="246"/>
      <c r="G3" s="246"/>
      <c r="H3" s="246"/>
    </row>
    <row r="4" spans="2:8" ht="4.5" customHeight="1" x14ac:dyDescent="0.35"/>
    <row r="5" spans="2:8" ht="25.5" customHeight="1" x14ac:dyDescent="0.35">
      <c r="B5" s="96" t="s">
        <v>283</v>
      </c>
      <c r="C5" s="97" t="s">
        <v>284</v>
      </c>
      <c r="D5" s="98" t="s">
        <v>285</v>
      </c>
      <c r="E5" s="99" t="s">
        <v>286</v>
      </c>
      <c r="F5" s="100" t="s">
        <v>285</v>
      </c>
      <c r="G5" s="101" t="s">
        <v>287</v>
      </c>
      <c r="H5" s="98" t="s">
        <v>288</v>
      </c>
    </row>
    <row r="6" spans="2:8" ht="19.5" customHeight="1" x14ac:dyDescent="0.35">
      <c r="B6" s="259" t="s">
        <v>120</v>
      </c>
      <c r="C6" s="246"/>
      <c r="D6" s="246"/>
      <c r="E6" s="246"/>
      <c r="F6" s="246"/>
      <c r="G6" s="246"/>
      <c r="H6" s="246"/>
    </row>
    <row r="7" spans="2:8" ht="18" customHeight="1" x14ac:dyDescent="0.35">
      <c r="B7" s="13" t="s">
        <v>124</v>
      </c>
      <c r="C7" s="102">
        <f>'1 · Your Business Today'!C14</f>
        <v>576000</v>
      </c>
      <c r="D7" s="103">
        <f>IF(C12&gt;0,C7/C12,0)</f>
        <v>0.24161073825503357</v>
      </c>
      <c r="E7" s="104">
        <f>'1 · Your Business Today'!C14</f>
        <v>576000</v>
      </c>
      <c r="F7" s="105">
        <f>IF(E12&gt;0,E7/E12,0)</f>
        <v>0.20137043770102084</v>
      </c>
      <c r="G7" s="106">
        <f>E7-C7</f>
        <v>0</v>
      </c>
      <c r="H7" s="107" t="s">
        <v>289</v>
      </c>
    </row>
    <row r="8" spans="2:8" ht="18" customHeight="1" x14ac:dyDescent="0.35">
      <c r="B8" s="13" t="s">
        <v>290</v>
      </c>
      <c r="C8" s="102">
        <f>'1 · Your Business Today'!C15</f>
        <v>1100000</v>
      </c>
      <c r="D8" s="103">
        <f>IF(C12&gt;0,C8/C12,0)</f>
        <v>0.46140939597315433</v>
      </c>
      <c r="E8" s="104">
        <f>'1 · Your Business Today'!C15*1.03</f>
        <v>1133000</v>
      </c>
      <c r="F8" s="105">
        <f>IF(E12&gt;0,E8/E12,0)</f>
        <v>0.39609844776954273</v>
      </c>
      <c r="G8" s="106">
        <f>E8-C8</f>
        <v>33000</v>
      </c>
      <c r="H8" s="107" t="s">
        <v>291</v>
      </c>
    </row>
    <row r="9" spans="2:8" ht="18" customHeight="1" x14ac:dyDescent="0.35">
      <c r="B9" s="13" t="s">
        <v>130</v>
      </c>
      <c r="C9" s="102">
        <f>'1 · Your Business Today'!C16</f>
        <v>616000</v>
      </c>
      <c r="D9" s="103">
        <f>IF(C12&gt;0,C9/C12,0)</f>
        <v>0.25838926174496646</v>
      </c>
      <c r="E9" s="104">
        <f>'1 · Your Business Today'!C16*1.05</f>
        <v>646800</v>
      </c>
      <c r="F9" s="105">
        <f>IF(E12&gt;0,E9/E12,0)</f>
        <v>0.22612222066843798</v>
      </c>
      <c r="G9" s="106">
        <f>E9-C9</f>
        <v>30800</v>
      </c>
      <c r="H9" s="107" t="s">
        <v>292</v>
      </c>
    </row>
    <row r="10" spans="2:8" ht="18" customHeight="1" x14ac:dyDescent="0.35">
      <c r="B10" s="13" t="s">
        <v>293</v>
      </c>
      <c r="C10" s="102">
        <f>'1 · Your Business Today'!C17</f>
        <v>92000</v>
      </c>
      <c r="D10" s="103">
        <f>IF(C12&gt;0,C10/C12,0)</f>
        <v>3.8590604026845637E-2</v>
      </c>
      <c r="E10" s="108">
        <f>'2 · Your Copilot Practice'!H41</f>
        <v>504600</v>
      </c>
      <c r="F10" s="109">
        <f>IF(E12&gt;0,E10/E12,0)</f>
        <v>0.17640889386099845</v>
      </c>
      <c r="G10" s="106">
        <f>E10-C10</f>
        <v>412600</v>
      </c>
      <c r="H10" s="107" t="s">
        <v>294</v>
      </c>
    </row>
    <row r="11" spans="2:8" ht="3.75" customHeight="1" x14ac:dyDescent="0.35"/>
    <row r="12" spans="2:8" ht="25.5" customHeight="1" x14ac:dyDescent="0.35">
      <c r="B12" s="110" t="s">
        <v>133</v>
      </c>
      <c r="C12" s="111">
        <f>C7+C8+C9+C10</f>
        <v>2384000</v>
      </c>
      <c r="D12" s="30">
        <f>IF(C12&gt;0,1,0)</f>
        <v>1</v>
      </c>
      <c r="E12" s="112">
        <f>E7+E8+E9+E10</f>
        <v>2860400</v>
      </c>
      <c r="F12" s="113">
        <f>IF(E12&gt;0,1,0)</f>
        <v>1</v>
      </c>
      <c r="G12" s="114">
        <f>E12-C12</f>
        <v>476400</v>
      </c>
    </row>
    <row r="13" spans="2:8" ht="4.5" customHeight="1" x14ac:dyDescent="0.35"/>
    <row r="14" spans="2:8" ht="19.5" customHeight="1" x14ac:dyDescent="0.35">
      <c r="B14" s="259" t="s">
        <v>295</v>
      </c>
      <c r="C14" s="246"/>
      <c r="D14" s="246"/>
      <c r="E14" s="246"/>
      <c r="F14" s="246"/>
      <c r="G14" s="246"/>
      <c r="H14" s="246"/>
    </row>
    <row r="15" spans="2:8" ht="18" customHeight="1" x14ac:dyDescent="0.35">
      <c r="B15" s="13" t="s">
        <v>296</v>
      </c>
      <c r="C15" s="102">
        <f>'1 · Your Business Today'!G16</f>
        <v>1227360</v>
      </c>
      <c r="D15" s="103">
        <f>IF(C12&gt;0,C15/C12,0)</f>
        <v>0.51483221476510066</v>
      </c>
      <c r="E15" s="104">
        <f>C15*1.08</f>
        <v>1325548.8</v>
      </c>
      <c r="F15" s="105">
        <f>IF(E12&gt;0,E15/E12,0)</f>
        <v>0.46341378828135926</v>
      </c>
      <c r="G15" s="106">
        <f>E15-C15</f>
        <v>98188.800000000047</v>
      </c>
      <c r="H15" s="115" t="s">
        <v>297</v>
      </c>
    </row>
    <row r="16" spans="2:8" ht="4.5" customHeight="1" x14ac:dyDescent="0.35"/>
    <row r="17" spans="2:8" ht="24" customHeight="1" x14ac:dyDescent="0.35">
      <c r="B17" s="110" t="s">
        <v>145</v>
      </c>
      <c r="C17" s="21">
        <f>C12-C15</f>
        <v>1156640</v>
      </c>
      <c r="D17" s="30">
        <f>IF(C12&gt;0,C17/C12,0)</f>
        <v>0.48516778523489934</v>
      </c>
      <c r="E17" s="116">
        <f>E12-E15</f>
        <v>1534851.2</v>
      </c>
      <c r="F17" s="113">
        <f>IF(E12&gt;0,E17/E12,0)</f>
        <v>0.53658621171864074</v>
      </c>
      <c r="G17" s="117">
        <f>E17-C17</f>
        <v>378211.19999999995</v>
      </c>
    </row>
    <row r="18" spans="2:8" ht="4.5" customHeight="1" x14ac:dyDescent="0.35"/>
    <row r="19" spans="2:8" ht="19.5" customHeight="1" x14ac:dyDescent="0.35">
      <c r="B19" s="259" t="s">
        <v>298</v>
      </c>
      <c r="C19" s="246"/>
      <c r="D19" s="246"/>
      <c r="E19" s="246"/>
      <c r="F19" s="246"/>
      <c r="G19" s="246"/>
      <c r="H19" s="246"/>
    </row>
    <row r="20" spans="2:8" ht="18" customHeight="1" x14ac:dyDescent="0.35">
      <c r="B20" s="13" t="s">
        <v>149</v>
      </c>
      <c r="C20" s="102">
        <f>'1 · Your Business Today'!C30</f>
        <v>803880</v>
      </c>
      <c r="D20" s="103">
        <f>IF(C12&gt;0,C20/C12,0)</f>
        <v>0.3371979865771812</v>
      </c>
      <c r="E20" s="104">
        <f>'1 · Your Business Today'!C30+IF('1 · Your Business Today'!C24=0,'1 · Your Business Today'!D24*1.32,0)</f>
        <v>955680</v>
      </c>
      <c r="F20" s="105">
        <f>IF(E12&gt;0,E20/E12,0)</f>
        <v>0.33410711788561043</v>
      </c>
      <c r="G20" s="106">
        <f>E20-C20</f>
        <v>151800</v>
      </c>
      <c r="H20" s="107" t="s">
        <v>299</v>
      </c>
    </row>
    <row r="21" spans="2:8" ht="18" customHeight="1" x14ac:dyDescent="0.35">
      <c r="B21" s="13" t="s">
        <v>153</v>
      </c>
      <c r="C21" s="102">
        <f>'1 · Your Business Today'!C39</f>
        <v>223000</v>
      </c>
      <c r="D21" s="103">
        <f>IF(C12&gt;0,C21/C12,0)</f>
        <v>9.3540268456375836E-2</v>
      </c>
      <c r="E21" s="104">
        <f>'1 · Your Business Today'!C39</f>
        <v>223000</v>
      </c>
      <c r="F21" s="105">
        <f>IF(E12&gt;0,E21/E12,0)</f>
        <v>7.7961124318277161E-2</v>
      </c>
      <c r="G21" s="106">
        <f>E21-C21</f>
        <v>0</v>
      </c>
      <c r="H21" s="107" t="s">
        <v>300</v>
      </c>
    </row>
    <row r="22" spans="2:8" ht="4.5" customHeight="1" x14ac:dyDescent="0.35"/>
    <row r="23" spans="2:8" ht="24" customHeight="1" x14ac:dyDescent="0.35">
      <c r="B23" s="110" t="s">
        <v>155</v>
      </c>
      <c r="C23" s="21">
        <f>C20+C21</f>
        <v>1026880</v>
      </c>
      <c r="D23" s="118">
        <f>IF(C12&gt;0,C23/C12,0)</f>
        <v>0.43073825503355706</v>
      </c>
      <c r="E23" s="116">
        <f>E20+E21</f>
        <v>1178680</v>
      </c>
      <c r="F23" s="119">
        <f>IF(E12&gt;0,E23/E12,0)</f>
        <v>0.41206824220388755</v>
      </c>
      <c r="G23" s="117">
        <f>E23-C23</f>
        <v>151800</v>
      </c>
    </row>
    <row r="24" spans="2:8" ht="7.5" customHeight="1" x14ac:dyDescent="0.35"/>
    <row r="25" spans="2:8" ht="24" customHeight="1" x14ac:dyDescent="0.35">
      <c r="B25" s="270" t="s">
        <v>301</v>
      </c>
      <c r="C25" s="246"/>
      <c r="D25" s="246"/>
      <c r="E25" s="246"/>
      <c r="F25" s="246"/>
      <c r="G25" s="246"/>
      <c r="H25" s="246"/>
    </row>
    <row r="26" spans="2:8" ht="36" customHeight="1" x14ac:dyDescent="0.35">
      <c r="C26" s="120">
        <f>C17-C23</f>
        <v>129760</v>
      </c>
      <c r="D26" s="121">
        <f>IF(C12&gt;0,C26/C12,0)</f>
        <v>5.442953020134228E-2</v>
      </c>
      <c r="E26" s="122">
        <f>E17-E23</f>
        <v>356171.19999999995</v>
      </c>
      <c r="F26" s="123">
        <f>IF(E12&gt;0,E26/E12,0)</f>
        <v>0.12451796951475316</v>
      </c>
      <c r="G26" s="124">
        <f>E26-C26</f>
        <v>226411.19999999995</v>
      </c>
    </row>
    <row r="27" spans="2:8" ht="13.5" customHeight="1" x14ac:dyDescent="0.35">
      <c r="C27" s="125" t="s">
        <v>284</v>
      </c>
      <c r="E27" s="126" t="s">
        <v>302</v>
      </c>
      <c r="G27" s="127" t="s">
        <v>303</v>
      </c>
    </row>
    <row r="28" spans="2:8" ht="9.75" customHeight="1" x14ac:dyDescent="0.35"/>
    <row r="29" spans="2:8" ht="21.75" customHeight="1" x14ac:dyDescent="0.35">
      <c r="B29" s="258" t="s">
        <v>162</v>
      </c>
      <c r="C29" s="246"/>
      <c r="D29" s="246"/>
      <c r="E29" s="246"/>
      <c r="F29" s="246"/>
      <c r="G29" s="246"/>
      <c r="H29" s="246"/>
    </row>
    <row r="30" spans="2:8" ht="15.75" customHeight="1" x14ac:dyDescent="0.35">
      <c r="B30" s="32" t="s">
        <v>304</v>
      </c>
      <c r="C30" s="33" t="s">
        <v>305</v>
      </c>
      <c r="D30" s="33"/>
      <c r="E30" s="128" t="s">
        <v>306</v>
      </c>
      <c r="F30" s="128"/>
      <c r="G30" s="33" t="s">
        <v>307</v>
      </c>
      <c r="H30" s="33" t="s">
        <v>308</v>
      </c>
    </row>
    <row r="31" spans="2:8" ht="16.5" customHeight="1" x14ac:dyDescent="0.35">
      <c r="B31" s="25" t="s">
        <v>165</v>
      </c>
      <c r="C31" s="129">
        <f>IF('1 · Your Business Today'!C29&gt;0,C12/'1 · Your Business Today'!C29,0)</f>
        <v>340571.42857142858</v>
      </c>
      <c r="E31" s="130">
        <f>IF('1 · Your Business Today'!C29+'1 · Your Business Today'!C24&gt;0,E12/('1 · Your Business Today'!C29+'1 · Your Business Today'!C24),0)</f>
        <v>408628.57142857142</v>
      </c>
      <c r="G31" s="131" t="s">
        <v>309</v>
      </c>
      <c r="H31" s="132" t="s">
        <v>310</v>
      </c>
    </row>
    <row r="32" spans="2:8" ht="16.5" customHeight="1" x14ac:dyDescent="0.35">
      <c r="B32" s="25" t="s">
        <v>173</v>
      </c>
      <c r="C32" s="133">
        <f>IF(C12&gt;0,C17/C12,0)</f>
        <v>0.48516778523489934</v>
      </c>
      <c r="E32" s="134">
        <f>IF(E12&gt;0,E17/E12,0)</f>
        <v>0.53658621171864074</v>
      </c>
      <c r="G32" s="131" t="s">
        <v>311</v>
      </c>
      <c r="H32" s="132" t="s">
        <v>312</v>
      </c>
    </row>
    <row r="33" spans="1:8" ht="16.5" customHeight="1" x14ac:dyDescent="0.35">
      <c r="B33" s="25" t="s">
        <v>175</v>
      </c>
      <c r="C33" s="133">
        <f>IF(C12&gt;0,C26/C12,0)</f>
        <v>5.442953020134228E-2</v>
      </c>
      <c r="E33" s="134">
        <f>IF(E12&gt;0,E26/E12,0)</f>
        <v>0.12451796951475316</v>
      </c>
      <c r="G33" s="131" t="s">
        <v>313</v>
      </c>
      <c r="H33" s="132" t="s">
        <v>312</v>
      </c>
    </row>
    <row r="34" spans="1:8" ht="16.5" customHeight="1" x14ac:dyDescent="0.35">
      <c r="B34" s="25" t="s">
        <v>314</v>
      </c>
      <c r="C34" s="135">
        <f>IF(C12&gt;0,'1 · Your Business Today'!C17/C12,0)</f>
        <v>3.8590604026845637E-2</v>
      </c>
      <c r="E34" s="136">
        <f>IF(E12&gt;0,'2 · Your Copilot Practice'!H41/E12,0)</f>
        <v>0.17640889386099845</v>
      </c>
      <c r="G34" s="131" t="s">
        <v>315</v>
      </c>
      <c r="H34" s="132" t="s">
        <v>316</v>
      </c>
    </row>
    <row r="35" spans="1:8" ht="27.75" customHeight="1" x14ac:dyDescent="0.35">
      <c r="B35" s="255" t="s">
        <v>317</v>
      </c>
      <c r="C35" s="246"/>
      <c r="D35" s="246"/>
      <c r="E35" s="246"/>
      <c r="F35" s="246"/>
      <c r="G35" s="246"/>
      <c r="H35" s="246"/>
    </row>
    <row r="36" spans="1:8" ht="7.5" customHeight="1" x14ac:dyDescent="0.35"/>
    <row r="37" spans="1:8" ht="21.75" customHeight="1" x14ac:dyDescent="0.35">
      <c r="B37" s="265" t="s">
        <v>318</v>
      </c>
      <c r="C37" s="246"/>
      <c r="D37" s="246"/>
      <c r="E37" s="246"/>
      <c r="F37" s="246"/>
      <c r="G37" s="246"/>
      <c r="H37" s="246"/>
    </row>
    <row r="38" spans="1:8" ht="16.5" customHeight="1" x14ac:dyDescent="0.35">
      <c r="B38" s="32" t="s">
        <v>211</v>
      </c>
      <c r="C38" s="33" t="s">
        <v>305</v>
      </c>
      <c r="D38" s="33" t="s">
        <v>319</v>
      </c>
      <c r="E38" s="33" t="s">
        <v>320</v>
      </c>
      <c r="F38" s="33" t="s">
        <v>321</v>
      </c>
      <c r="G38" s="33" t="s">
        <v>322</v>
      </c>
      <c r="H38" s="33" t="s">
        <v>323</v>
      </c>
    </row>
    <row r="39" spans="1:8" ht="16.5" customHeight="1" x14ac:dyDescent="0.35">
      <c r="B39" s="13" t="s">
        <v>191</v>
      </c>
      <c r="C39" s="14">
        <f>'1 · Your Business Today'!C14</f>
        <v>576000</v>
      </c>
      <c r="D39" s="26">
        <f>C39*1.08</f>
        <v>622080</v>
      </c>
      <c r="E39" s="26">
        <f>D39*1.06</f>
        <v>659404.80000000005</v>
      </c>
      <c r="F39" s="26">
        <f>E39*1.05</f>
        <v>692375.04000000004</v>
      </c>
      <c r="G39" s="137">
        <f>IF(C39&gt;0,(F39/C39)^(1/3)-1,0)</f>
        <v>6.3260401462249982E-2</v>
      </c>
      <c r="H39" s="132" t="s">
        <v>324</v>
      </c>
    </row>
    <row r="40" spans="1:8" ht="16.5" customHeight="1" x14ac:dyDescent="0.35">
      <c r="B40" s="13" t="s">
        <v>194</v>
      </c>
      <c r="C40" s="14">
        <f>'1 · Your Business Today'!C15</f>
        <v>1100000</v>
      </c>
      <c r="D40" s="26">
        <f>C40*1.05</f>
        <v>1155000</v>
      </c>
      <c r="E40" s="26">
        <f>D40*1.08</f>
        <v>1247400</v>
      </c>
      <c r="F40" s="26">
        <f>E40*1.1</f>
        <v>1372140</v>
      </c>
      <c r="G40" s="137">
        <f>IF(C40&gt;0,(F40/C40)^(1/3)-1,0)</f>
        <v>7.6469955893837982E-2</v>
      </c>
      <c r="H40" s="132" t="s">
        <v>325</v>
      </c>
    </row>
    <row r="41" spans="1:8" ht="16.5" customHeight="1" x14ac:dyDescent="0.35">
      <c r="B41" s="13" t="s">
        <v>130</v>
      </c>
      <c r="C41" s="14">
        <f>'1 · Your Business Today'!C16</f>
        <v>616000</v>
      </c>
      <c r="D41" s="26">
        <f>C41*1.1</f>
        <v>677600</v>
      </c>
      <c r="E41" s="26">
        <f>D41*1.15</f>
        <v>779239.99999999988</v>
      </c>
      <c r="F41" s="26">
        <f>E41*1.15</f>
        <v>896125.99999999977</v>
      </c>
      <c r="G41" s="137">
        <f>IF(C41&gt;0,(F41/C41)^(1/3)-1,0)</f>
        <v>0.13308577830243107</v>
      </c>
      <c r="H41" s="132" t="s">
        <v>326</v>
      </c>
    </row>
    <row r="42" spans="1:8" ht="16.5" customHeight="1" x14ac:dyDescent="0.35">
      <c r="B42" s="13" t="s">
        <v>131</v>
      </c>
      <c r="C42" s="14">
        <f>'2 · Your Copilot Practice'!H41</f>
        <v>504600</v>
      </c>
      <c r="D42" s="26">
        <f>C42*1</f>
        <v>504600</v>
      </c>
      <c r="E42" s="26">
        <f>D42*1.35</f>
        <v>681210</v>
      </c>
      <c r="F42" s="26">
        <f>E42*1.4</f>
        <v>953693.99999999988</v>
      </c>
      <c r="G42" s="137">
        <f>IF(C42&gt;0,(F42/C42)^(1/3)-1,0)</f>
        <v>0.23638558994256709</v>
      </c>
      <c r="H42" s="138" t="s">
        <v>327</v>
      </c>
    </row>
    <row r="43" spans="1:8" ht="16.5" customHeight="1" x14ac:dyDescent="0.35">
      <c r="B43" s="20" t="s">
        <v>133</v>
      </c>
      <c r="C43" s="21">
        <f>SUM(C39:C42)</f>
        <v>2796600</v>
      </c>
      <c r="D43" s="21">
        <f>SUM(D39:D42)</f>
        <v>2959280</v>
      </c>
      <c r="E43" s="21">
        <f>SUM(E39:E42)</f>
        <v>3367254.8</v>
      </c>
      <c r="F43" s="21">
        <f>SUM(F39:F42)</f>
        <v>3914335.04</v>
      </c>
      <c r="G43" s="139">
        <f>IF(C43&gt;0,(F43/C43)^(1/3)-1,0)</f>
        <v>0.11860274500246581</v>
      </c>
    </row>
    <row r="45" spans="1:8" ht="18" customHeight="1" x14ac:dyDescent="0.35">
      <c r="A45" s="140"/>
      <c r="B45" s="140" t="s">
        <v>328</v>
      </c>
      <c r="C45" s="140"/>
      <c r="D45" s="140"/>
      <c r="E45" s="140"/>
      <c r="F45" s="140"/>
      <c r="G45" s="140"/>
      <c r="H45" s="140"/>
    </row>
    <row r="46" spans="1:8" ht="18" customHeight="1" x14ac:dyDescent="0.35">
      <c r="A46" s="140"/>
      <c r="B46" s="140" t="s">
        <v>305</v>
      </c>
      <c r="C46" s="141">
        <f>C43</f>
        <v>2796600</v>
      </c>
      <c r="D46" s="140"/>
      <c r="E46" s="140"/>
      <c r="F46" s="140"/>
      <c r="G46" s="140"/>
      <c r="H46" s="140"/>
    </row>
    <row r="47" spans="1:8" ht="18" customHeight="1" x14ac:dyDescent="0.35">
      <c r="A47" s="140"/>
      <c r="B47" s="140" t="s">
        <v>319</v>
      </c>
      <c r="C47" s="141">
        <f>D43</f>
        <v>2959280</v>
      </c>
      <c r="D47" s="140"/>
      <c r="E47" s="140"/>
      <c r="F47" s="140"/>
      <c r="G47" s="140"/>
      <c r="H47" s="140"/>
    </row>
    <row r="48" spans="1:8" ht="18" customHeight="1" x14ac:dyDescent="0.35">
      <c r="A48" s="140"/>
      <c r="B48" s="140" t="s">
        <v>320</v>
      </c>
      <c r="C48" s="141">
        <f>E43</f>
        <v>3367254.8</v>
      </c>
      <c r="D48" s="140"/>
      <c r="E48" s="140"/>
      <c r="F48" s="140"/>
      <c r="G48" s="140"/>
      <c r="H48" s="140"/>
    </row>
    <row r="49" spans="1:8" ht="18" customHeight="1" x14ac:dyDescent="0.35">
      <c r="A49" s="140"/>
      <c r="B49" s="140" t="s">
        <v>321</v>
      </c>
      <c r="C49" s="141">
        <f>F43</f>
        <v>3914335.04</v>
      </c>
      <c r="D49" s="140"/>
      <c r="E49" s="140"/>
      <c r="F49" s="140"/>
      <c r="G49" s="140"/>
      <c r="H49" s="140"/>
    </row>
    <row r="50" spans="1:8" ht="18" customHeight="1" x14ac:dyDescent="0.35">
      <c r="A50" s="140"/>
      <c r="B50" s="140"/>
      <c r="C50" s="140"/>
      <c r="D50" s="140"/>
      <c r="E50" s="140"/>
      <c r="F50" s="140"/>
      <c r="G50" s="140"/>
      <c r="H50" s="140"/>
    </row>
    <row r="51" spans="1:8" ht="18" customHeight="1" x14ac:dyDescent="0.35">
      <c r="A51" s="140"/>
      <c r="B51" s="140"/>
      <c r="C51" s="140"/>
      <c r="D51" s="140"/>
      <c r="E51" s="140"/>
      <c r="F51" s="140"/>
      <c r="G51" s="140"/>
      <c r="H51" s="140"/>
    </row>
    <row r="52" spans="1:8" ht="18" customHeight="1" x14ac:dyDescent="0.35">
      <c r="A52" s="140"/>
      <c r="B52" s="140"/>
      <c r="C52" s="140"/>
      <c r="D52" s="140"/>
      <c r="E52" s="140"/>
      <c r="F52" s="140"/>
      <c r="G52" s="140"/>
      <c r="H52" s="140"/>
    </row>
    <row r="53" spans="1:8" ht="18" customHeight="1" x14ac:dyDescent="0.35">
      <c r="A53" s="140"/>
      <c r="B53" s="140"/>
      <c r="C53" s="140"/>
      <c r="D53" s="140"/>
      <c r="E53" s="140"/>
      <c r="F53" s="140"/>
      <c r="G53" s="140"/>
      <c r="H53" s="140"/>
    </row>
    <row r="54" spans="1:8" ht="18" customHeight="1" x14ac:dyDescent="0.35">
      <c r="A54" s="140"/>
      <c r="B54" s="140"/>
      <c r="C54" s="140"/>
      <c r="D54" s="140"/>
      <c r="E54" s="140"/>
      <c r="F54" s="140"/>
      <c r="G54" s="140"/>
      <c r="H54" s="140"/>
    </row>
  </sheetData>
  <mergeCells count="9">
    <mergeCell ref="B37:H37"/>
    <mergeCell ref="B14:H14"/>
    <mergeCell ref="B35:H35"/>
    <mergeCell ref="B6:H6"/>
    <mergeCell ref="B2:H2"/>
    <mergeCell ref="B29:H29"/>
    <mergeCell ref="B25:H25"/>
    <mergeCell ref="B3:H3"/>
    <mergeCell ref="B19:H19"/>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B5E3C"/>
    <pageSetUpPr fitToPage="1"/>
  </sheetPr>
  <dimension ref="B1:H41"/>
  <sheetViews>
    <sheetView showGridLines="0" zoomScale="90" zoomScaleNormal="90" workbookViewId="0"/>
  </sheetViews>
  <sheetFormatPr defaultColWidth="8.6328125" defaultRowHeight="14.5" x14ac:dyDescent="0.35"/>
  <cols>
    <col min="1" max="1" width="0.54296875" customWidth="1"/>
    <col min="2" max="2" width="38" customWidth="1"/>
    <col min="3" max="3" width="16" customWidth="1"/>
    <col min="4" max="5" width="14" customWidth="1"/>
    <col min="6" max="6" width="16" customWidth="1"/>
    <col min="7" max="7" width="14" customWidth="1"/>
    <col min="8" max="8" width="24" customWidth="1"/>
    <col min="9" max="9" width="0.54296875" customWidth="1"/>
    <col min="10" max="10" width="14" customWidth="1"/>
  </cols>
  <sheetData>
    <row r="1" spans="2:8" ht="6" customHeight="1" x14ac:dyDescent="0.35"/>
    <row r="2" spans="2:8" ht="36" customHeight="1" x14ac:dyDescent="0.35">
      <c r="B2" s="278" t="s">
        <v>329</v>
      </c>
      <c r="C2" s="246"/>
      <c r="D2" s="246"/>
      <c r="E2" s="246"/>
      <c r="F2" s="246"/>
      <c r="G2" s="246"/>
      <c r="H2" s="246"/>
    </row>
    <row r="3" spans="2:8" ht="18" customHeight="1" x14ac:dyDescent="0.35">
      <c r="B3" s="260" t="s">
        <v>330</v>
      </c>
      <c r="C3" s="246"/>
      <c r="D3" s="246"/>
      <c r="E3" s="246"/>
      <c r="F3" s="246"/>
      <c r="G3" s="246"/>
      <c r="H3" s="246"/>
    </row>
    <row r="4" spans="2:8" ht="6" customHeight="1" x14ac:dyDescent="0.35"/>
    <row r="5" spans="2:8" ht="21.75" customHeight="1" x14ac:dyDescent="0.35">
      <c r="B5" s="259" t="s">
        <v>331</v>
      </c>
      <c r="C5" s="246"/>
      <c r="D5" s="246"/>
      <c r="E5" s="246"/>
      <c r="F5" s="246"/>
      <c r="G5" s="246"/>
      <c r="H5" s="246"/>
    </row>
    <row r="6" spans="2:8" ht="33.75" customHeight="1" x14ac:dyDescent="0.35">
      <c r="B6" s="142">
        <f>'1 · Your Business Today'!C8</f>
        <v>50</v>
      </c>
      <c r="C6" s="142">
        <f>'1 · Your Business Today'!C10</f>
        <v>2000</v>
      </c>
      <c r="D6" s="142">
        <f>'1 · Your Business Today'!C29</f>
        <v>7</v>
      </c>
      <c r="E6" s="143">
        <f>'1 · Your Business Today'!C18</f>
        <v>2384000</v>
      </c>
      <c r="F6" s="143">
        <f>'2 · Your Copilot Practice'!H41</f>
        <v>504600</v>
      </c>
      <c r="G6" s="144"/>
    </row>
    <row r="7" spans="2:8" ht="15.75" customHeight="1" x14ac:dyDescent="0.35">
      <c r="B7" s="145" t="s">
        <v>222</v>
      </c>
      <c r="C7" s="145" t="s">
        <v>332</v>
      </c>
      <c r="D7" s="145" t="s">
        <v>333</v>
      </c>
      <c r="E7" s="145" t="s">
        <v>334</v>
      </c>
      <c r="F7" s="145" t="s">
        <v>335</v>
      </c>
    </row>
    <row r="8" spans="2:8" ht="7.5" customHeight="1" x14ac:dyDescent="0.35"/>
    <row r="9" spans="2:8" ht="21.75" customHeight="1" x14ac:dyDescent="0.35">
      <c r="B9" s="259" t="s">
        <v>336</v>
      </c>
      <c r="C9" s="246"/>
      <c r="D9" s="246"/>
      <c r="E9" s="246"/>
      <c r="F9" s="246"/>
      <c r="G9" s="246"/>
      <c r="H9" s="246"/>
    </row>
    <row r="10" spans="2:8" ht="15.75" customHeight="1" x14ac:dyDescent="0.35">
      <c r="B10" s="32" t="s">
        <v>337</v>
      </c>
      <c r="C10" s="33" t="s">
        <v>284</v>
      </c>
      <c r="D10" s="146" t="s">
        <v>285</v>
      </c>
      <c r="E10" s="147" t="s">
        <v>302</v>
      </c>
      <c r="F10" s="148" t="s">
        <v>285</v>
      </c>
      <c r="G10" s="149" t="s">
        <v>287</v>
      </c>
      <c r="H10" s="146" t="s">
        <v>288</v>
      </c>
    </row>
    <row r="11" spans="2:8" ht="19.5" customHeight="1" x14ac:dyDescent="0.35">
      <c r="B11" s="20" t="s">
        <v>338</v>
      </c>
      <c r="C11" s="29">
        <f>'3 · Before vs After'!C12</f>
        <v>2384000</v>
      </c>
      <c r="D11" s="150">
        <f>IF(C11&gt;0,C11/C11,0)</f>
        <v>1</v>
      </c>
      <c r="E11" s="151">
        <f>'3 · Before vs After'!E12</f>
        <v>2860400</v>
      </c>
      <c r="F11" s="152">
        <f>IF(E11&gt;0,E11/E11,0)</f>
        <v>1</v>
      </c>
      <c r="G11" s="153">
        <f>E11-C11</f>
        <v>476400</v>
      </c>
      <c r="H11" s="132" t="s">
        <v>339</v>
      </c>
    </row>
    <row r="12" spans="2:8" ht="19.5" customHeight="1" x14ac:dyDescent="0.35">
      <c r="B12" s="20" t="s">
        <v>340</v>
      </c>
      <c r="C12" s="29">
        <f>'3 · Before vs After'!C17</f>
        <v>1156640</v>
      </c>
      <c r="D12" s="150">
        <f>IF(C11&gt;0,C12/C11,0)</f>
        <v>0.48516778523489934</v>
      </c>
      <c r="E12" s="151">
        <f>'3 · Before vs After'!E17</f>
        <v>1534851.2</v>
      </c>
      <c r="F12" s="152">
        <f>IF(E11&gt;0,E12/E11,0)</f>
        <v>0.53658621171864074</v>
      </c>
      <c r="G12" s="153">
        <f>E12-C12</f>
        <v>378211.19999999995</v>
      </c>
      <c r="H12" s="132" t="s">
        <v>341</v>
      </c>
    </row>
    <row r="13" spans="2:8" ht="16.5" customHeight="1" x14ac:dyDescent="0.35">
      <c r="B13" s="13" t="s">
        <v>342</v>
      </c>
      <c r="C13" s="102">
        <f>'3 · Before vs After'!C23</f>
        <v>1026880</v>
      </c>
      <c r="D13" s="154">
        <f>IF(C11&gt;0,C13/C11,0)</f>
        <v>0.43073825503355706</v>
      </c>
      <c r="E13" s="155">
        <f>'3 · Before vs After'!E23</f>
        <v>1178680</v>
      </c>
      <c r="F13" s="156">
        <f>IF(E11&gt;0,E13/E11,0)</f>
        <v>0.41206824220388755</v>
      </c>
      <c r="G13" s="157">
        <f>E13-C13</f>
        <v>151800</v>
      </c>
      <c r="H13" s="132" t="s">
        <v>343</v>
      </c>
    </row>
    <row r="14" spans="2:8" ht="24" customHeight="1" x14ac:dyDescent="0.35">
      <c r="B14" s="158" t="s">
        <v>301</v>
      </c>
      <c r="C14" s="159">
        <f>'3 · Before vs After'!C26</f>
        <v>129760</v>
      </c>
      <c r="D14" s="160">
        <f>IF(C11&gt;0,C14/C11,0)</f>
        <v>5.442953020134228E-2</v>
      </c>
      <c r="E14" s="161">
        <f>'3 · Before vs After'!E26</f>
        <v>356171.19999999995</v>
      </c>
      <c r="F14" s="162">
        <f>IF(E11&gt;0,E14/E11,0)</f>
        <v>0.12451796951475316</v>
      </c>
      <c r="G14" s="163">
        <f>E14-C14</f>
        <v>226411.19999999995</v>
      </c>
      <c r="H14" s="132" t="s">
        <v>344</v>
      </c>
    </row>
    <row r="15" spans="2:8" ht="7.5" customHeight="1" x14ac:dyDescent="0.35"/>
    <row r="16" spans="2:8" ht="21.75" customHeight="1" x14ac:dyDescent="0.35">
      <c r="B16" s="258" t="s">
        <v>345</v>
      </c>
      <c r="C16" s="246"/>
      <c r="D16" s="246"/>
      <c r="E16" s="246"/>
      <c r="F16" s="246"/>
      <c r="G16" s="246"/>
      <c r="H16" s="246"/>
    </row>
    <row r="17" spans="2:8" ht="16.5" customHeight="1" x14ac:dyDescent="0.35">
      <c r="B17" s="25" t="s">
        <v>165</v>
      </c>
      <c r="C17" s="129">
        <f>'3 · Before vs After'!C31</f>
        <v>340571.42857142858</v>
      </c>
      <c r="E17" s="130">
        <f>'3 · Before vs After'!E31</f>
        <v>408628.57142857142</v>
      </c>
      <c r="G17" s="131" t="s">
        <v>346</v>
      </c>
    </row>
    <row r="18" spans="2:8" ht="16.5" customHeight="1" x14ac:dyDescent="0.35">
      <c r="B18" s="25" t="s">
        <v>175</v>
      </c>
      <c r="C18" s="133">
        <f>'3 · Before vs After'!C33</f>
        <v>5.442953020134228E-2</v>
      </c>
      <c r="E18" s="134">
        <f>'3 · Before vs After'!E33</f>
        <v>0.12451796951475316</v>
      </c>
      <c r="G18" s="131" t="s">
        <v>347</v>
      </c>
    </row>
    <row r="19" spans="2:8" ht="16.5" customHeight="1" x14ac:dyDescent="0.35">
      <c r="B19" s="25" t="s">
        <v>173</v>
      </c>
      <c r="C19" s="133">
        <f>'3 · Before vs After'!C32</f>
        <v>0.48516778523489934</v>
      </c>
      <c r="E19" s="134">
        <f>'3 · Before vs After'!E32</f>
        <v>0.53658621171864074</v>
      </c>
      <c r="G19" s="131" t="s">
        <v>348</v>
      </c>
    </row>
    <row r="20" spans="2:8" ht="16.5" customHeight="1" x14ac:dyDescent="0.35">
      <c r="B20" s="25" t="s">
        <v>349</v>
      </c>
      <c r="C20" s="135">
        <f>'3 · Before vs After'!C34</f>
        <v>3.8590604026845637E-2</v>
      </c>
      <c r="E20" s="136">
        <f>'3 · Before vs After'!E34</f>
        <v>0.17640889386099845</v>
      </c>
      <c r="G20" s="131" t="s">
        <v>350</v>
      </c>
    </row>
    <row r="21" spans="2:8" ht="7.5" customHeight="1" x14ac:dyDescent="0.35"/>
    <row r="22" spans="2:8" ht="21.75" customHeight="1" x14ac:dyDescent="0.35">
      <c r="B22" s="265" t="s">
        <v>351</v>
      </c>
      <c r="C22" s="246"/>
      <c r="D22" s="246"/>
      <c r="E22" s="246"/>
      <c r="F22" s="246"/>
      <c r="G22" s="246"/>
      <c r="H22" s="246"/>
    </row>
    <row r="23" spans="2:8" ht="15.75" customHeight="1" x14ac:dyDescent="0.35">
      <c r="B23" s="280" t="s">
        <v>352</v>
      </c>
      <c r="C23" s="246"/>
      <c r="D23" s="246"/>
      <c r="E23" s="246"/>
      <c r="F23" s="246"/>
      <c r="G23" s="246"/>
      <c r="H23" s="246"/>
    </row>
    <row r="24" spans="2:8" ht="16.5" customHeight="1" x14ac:dyDescent="0.35">
      <c r="B24" s="279" t="s">
        <v>353</v>
      </c>
      <c r="C24" s="273" t="s">
        <v>354</v>
      </c>
      <c r="D24" s="246"/>
      <c r="E24" s="246"/>
      <c r="F24" s="246"/>
      <c r="G24" s="246"/>
      <c r="H24" s="246"/>
    </row>
    <row r="25" spans="2:8" ht="16.5" customHeight="1" x14ac:dyDescent="0.35">
      <c r="B25" s="246"/>
      <c r="C25" s="271" t="s">
        <v>355</v>
      </c>
      <c r="D25" s="246"/>
      <c r="E25" s="246"/>
      <c r="F25" s="246"/>
      <c r="G25" s="246"/>
      <c r="H25" s="246"/>
    </row>
    <row r="26" spans="2:8" ht="16.5" customHeight="1" x14ac:dyDescent="0.35">
      <c r="B26" s="246"/>
      <c r="C26" s="273" t="s">
        <v>356</v>
      </c>
      <c r="D26" s="246"/>
      <c r="E26" s="246"/>
      <c r="F26" s="246"/>
      <c r="G26" s="246"/>
      <c r="H26" s="246"/>
    </row>
    <row r="27" spans="2:8" ht="16.5" customHeight="1" x14ac:dyDescent="0.35">
      <c r="B27" s="246"/>
      <c r="C27" s="271" t="s">
        <v>357</v>
      </c>
      <c r="D27" s="246"/>
      <c r="E27" s="246"/>
      <c r="F27" s="246"/>
      <c r="G27" s="246"/>
      <c r="H27" s="246"/>
    </row>
    <row r="28" spans="2:8" ht="3.75" customHeight="1" x14ac:dyDescent="0.35"/>
    <row r="29" spans="2:8" ht="16.5" customHeight="1" x14ac:dyDescent="0.35">
      <c r="B29" s="275" t="s">
        <v>358</v>
      </c>
      <c r="C29" s="273" t="s">
        <v>359</v>
      </c>
      <c r="D29" s="246"/>
      <c r="E29" s="246"/>
      <c r="F29" s="246"/>
      <c r="G29" s="246"/>
      <c r="H29" s="246"/>
    </row>
    <row r="30" spans="2:8" ht="16.5" customHeight="1" x14ac:dyDescent="0.35">
      <c r="B30" s="246"/>
      <c r="C30" s="271" t="s">
        <v>360</v>
      </c>
      <c r="D30" s="246"/>
      <c r="E30" s="246"/>
      <c r="F30" s="246"/>
      <c r="G30" s="246"/>
      <c r="H30" s="246"/>
    </row>
    <row r="31" spans="2:8" ht="16.5" customHeight="1" x14ac:dyDescent="0.35">
      <c r="B31" s="246"/>
      <c r="C31" s="273" t="s">
        <v>361</v>
      </c>
      <c r="D31" s="246"/>
      <c r="E31" s="246"/>
      <c r="F31" s="246"/>
      <c r="G31" s="246"/>
      <c r="H31" s="246"/>
    </row>
    <row r="32" spans="2:8" ht="16.5" customHeight="1" x14ac:dyDescent="0.35">
      <c r="B32" s="246"/>
      <c r="C32" s="271" t="s">
        <v>362</v>
      </c>
      <c r="D32" s="246"/>
      <c r="E32" s="246"/>
      <c r="F32" s="246"/>
      <c r="G32" s="246"/>
      <c r="H32" s="246"/>
    </row>
    <row r="33" spans="2:8" ht="3.75" customHeight="1" x14ac:dyDescent="0.35"/>
    <row r="34" spans="2:8" ht="16.5" customHeight="1" x14ac:dyDescent="0.35">
      <c r="B34" s="276" t="s">
        <v>363</v>
      </c>
      <c r="C34" s="273" t="s">
        <v>364</v>
      </c>
      <c r="D34" s="246"/>
      <c r="E34" s="246"/>
      <c r="F34" s="246"/>
      <c r="G34" s="246"/>
      <c r="H34" s="246"/>
    </row>
    <row r="35" spans="2:8" ht="16.5" customHeight="1" x14ac:dyDescent="0.35">
      <c r="B35" s="246"/>
      <c r="C35" s="271" t="s">
        <v>365</v>
      </c>
      <c r="D35" s="246"/>
      <c r="E35" s="246"/>
      <c r="F35" s="246"/>
      <c r="G35" s="246"/>
      <c r="H35" s="246"/>
    </row>
    <row r="36" spans="2:8" ht="16.5" customHeight="1" x14ac:dyDescent="0.35">
      <c r="B36" s="246"/>
      <c r="C36" s="273" t="s">
        <v>366</v>
      </c>
      <c r="D36" s="246"/>
      <c r="E36" s="246"/>
      <c r="F36" s="246"/>
      <c r="G36" s="246"/>
      <c r="H36" s="246"/>
    </row>
    <row r="37" spans="2:8" ht="16.5" customHeight="1" x14ac:dyDescent="0.35">
      <c r="B37" s="246"/>
      <c r="C37" s="271" t="s">
        <v>367</v>
      </c>
      <c r="D37" s="246"/>
      <c r="E37" s="246"/>
      <c r="F37" s="246"/>
      <c r="G37" s="246"/>
      <c r="H37" s="246"/>
    </row>
    <row r="38" spans="2:8" ht="3.75" customHeight="1" x14ac:dyDescent="0.35"/>
    <row r="39" spans="2:8" ht="45" customHeight="1" x14ac:dyDescent="0.35">
      <c r="B39" s="277" t="s">
        <v>368</v>
      </c>
      <c r="C39" s="246"/>
      <c r="D39" s="246"/>
      <c r="E39" s="246"/>
      <c r="F39" s="246"/>
      <c r="G39" s="246"/>
      <c r="H39" s="246"/>
    </row>
    <row r="40" spans="2:8" ht="21.75" customHeight="1" x14ac:dyDescent="0.35">
      <c r="B40" s="272" t="s">
        <v>369</v>
      </c>
      <c r="C40" s="246"/>
      <c r="D40" s="246"/>
      <c r="E40" s="246"/>
      <c r="F40" s="246"/>
      <c r="G40" s="246"/>
      <c r="H40" s="246"/>
    </row>
    <row r="41" spans="2:8" ht="13.5" customHeight="1" x14ac:dyDescent="0.35">
      <c r="B41" s="274" t="s">
        <v>370</v>
      </c>
      <c r="C41" s="246"/>
      <c r="D41" s="246"/>
      <c r="E41" s="246"/>
      <c r="F41" s="246"/>
      <c r="G41" s="246"/>
      <c r="H41" s="246"/>
    </row>
  </sheetData>
  <mergeCells count="25">
    <mergeCell ref="B2:H2"/>
    <mergeCell ref="C34:H34"/>
    <mergeCell ref="B24:B27"/>
    <mergeCell ref="C30:H30"/>
    <mergeCell ref="B23:H23"/>
    <mergeCell ref="C24:H24"/>
    <mergeCell ref="C26:H26"/>
    <mergeCell ref="C29:H29"/>
    <mergeCell ref="B3:H3"/>
    <mergeCell ref="B22:H22"/>
    <mergeCell ref="C32:H32"/>
    <mergeCell ref="C37:H37"/>
    <mergeCell ref="B34:B37"/>
    <mergeCell ref="C35:H35"/>
    <mergeCell ref="B41:H41"/>
    <mergeCell ref="C36:H36"/>
    <mergeCell ref="C27:H27"/>
    <mergeCell ref="B16:H16"/>
    <mergeCell ref="B29:B32"/>
    <mergeCell ref="B39:H39"/>
    <mergeCell ref="C25:H25"/>
    <mergeCell ref="B40:H40"/>
    <mergeCell ref="B9:H9"/>
    <mergeCell ref="C31:H31"/>
    <mergeCell ref="B5:H5"/>
  </mergeCells>
  <pageMargins left="0.5" right="0.5" top="0.5" bottom="0.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42"/>
  <sheetViews>
    <sheetView showGridLines="0" zoomScaleNormal="100" workbookViewId="0"/>
  </sheetViews>
  <sheetFormatPr defaultColWidth="8.6328125" defaultRowHeight="14.5" x14ac:dyDescent="0.35"/>
  <cols>
    <col min="1" max="1" width="1.54296875" customWidth="1"/>
    <col min="2" max="2" width="52" customWidth="1"/>
    <col min="3" max="6" width="14" customWidth="1"/>
    <col min="7" max="7" width="42" customWidth="1"/>
    <col min="8" max="10" width="14" customWidth="1"/>
  </cols>
  <sheetData>
    <row r="2" spans="2:10" ht="15" customHeight="1" x14ac:dyDescent="0.35">
      <c r="B2" s="268" t="s">
        <v>0</v>
      </c>
      <c r="C2" s="246"/>
      <c r="D2" s="246"/>
      <c r="E2" s="246"/>
      <c r="F2" s="246"/>
      <c r="G2" s="246"/>
      <c r="H2" s="246"/>
      <c r="I2" s="246"/>
      <c r="J2" s="246"/>
    </row>
    <row r="3" spans="2:10" ht="15" customHeight="1" x14ac:dyDescent="0.35">
      <c r="B3" s="281" t="s">
        <v>371</v>
      </c>
      <c r="C3" s="246"/>
      <c r="D3" s="246"/>
      <c r="E3" s="246"/>
      <c r="F3" s="246"/>
      <c r="G3" s="246"/>
      <c r="H3" s="246"/>
      <c r="I3" s="246"/>
      <c r="J3" s="246"/>
    </row>
    <row r="5" spans="2:10" ht="18" customHeight="1" x14ac:dyDescent="0.35">
      <c r="B5" s="245" t="s">
        <v>372</v>
      </c>
      <c r="C5" s="246"/>
      <c r="D5" s="246"/>
      <c r="E5" s="246"/>
      <c r="F5" s="246"/>
      <c r="G5" s="246"/>
      <c r="H5" s="246"/>
      <c r="I5" s="246"/>
      <c r="J5" s="246"/>
    </row>
    <row r="6" spans="2:10" ht="18" customHeight="1" x14ac:dyDescent="0.35">
      <c r="B6" s="164" t="s">
        <v>373</v>
      </c>
      <c r="C6" s="164" t="s">
        <v>374</v>
      </c>
      <c r="D6" s="164" t="s">
        <v>375</v>
      </c>
      <c r="E6" s="164" t="s">
        <v>376</v>
      </c>
      <c r="F6" s="164"/>
      <c r="G6" s="164" t="s">
        <v>377</v>
      </c>
      <c r="H6" s="164" t="s">
        <v>378</v>
      </c>
      <c r="I6" s="164" t="s">
        <v>379</v>
      </c>
      <c r="J6" s="164" t="s">
        <v>380</v>
      </c>
    </row>
    <row r="7" spans="2:10" ht="15.75" customHeight="1" x14ac:dyDescent="0.35">
      <c r="B7" s="165" t="s">
        <v>381</v>
      </c>
      <c r="C7" s="166">
        <v>0.15</v>
      </c>
      <c r="D7" s="167">
        <v>0.25</v>
      </c>
      <c r="E7" s="168">
        <v>0.4</v>
      </c>
      <c r="G7" s="169" t="s">
        <v>382</v>
      </c>
    </row>
    <row r="8" spans="2:10" ht="15.75" customHeight="1" x14ac:dyDescent="0.35">
      <c r="B8" s="170" t="s">
        <v>383</v>
      </c>
      <c r="C8" s="166">
        <v>0.2</v>
      </c>
      <c r="D8" s="167">
        <v>0.35</v>
      </c>
      <c r="E8" s="168">
        <v>0.55000000000000004</v>
      </c>
      <c r="G8" s="39" t="s">
        <v>384</v>
      </c>
    </row>
    <row r="9" spans="2:10" ht="15.75" customHeight="1" x14ac:dyDescent="0.35">
      <c r="B9" s="165" t="s">
        <v>385</v>
      </c>
      <c r="C9" s="166">
        <v>0.6</v>
      </c>
      <c r="D9" s="167">
        <v>0.77</v>
      </c>
      <c r="E9" s="168">
        <v>0.88</v>
      </c>
      <c r="G9" s="169" t="s">
        <v>386</v>
      </c>
    </row>
    <row r="10" spans="2:10" ht="15.75" customHeight="1" x14ac:dyDescent="0.35">
      <c r="B10" s="170" t="s">
        <v>387</v>
      </c>
      <c r="C10" s="166">
        <v>0.08</v>
      </c>
      <c r="D10" s="167">
        <v>0.04</v>
      </c>
      <c r="E10" s="168">
        <v>0.02</v>
      </c>
      <c r="G10" s="39" t="s">
        <v>388</v>
      </c>
    </row>
    <row r="11" spans="2:10" ht="15.75" customHeight="1" x14ac:dyDescent="0.35">
      <c r="B11" s="165" t="s">
        <v>389</v>
      </c>
      <c r="C11" s="166">
        <v>0.15</v>
      </c>
      <c r="D11" s="167">
        <v>0.08</v>
      </c>
      <c r="E11" s="168">
        <v>0.03</v>
      </c>
      <c r="G11" s="169" t="s">
        <v>390</v>
      </c>
    </row>
    <row r="13" spans="2:10" ht="18" customHeight="1" x14ac:dyDescent="0.35">
      <c r="B13" s="245" t="s">
        <v>391</v>
      </c>
      <c r="C13" s="246"/>
      <c r="D13" s="246"/>
      <c r="E13" s="246"/>
      <c r="F13" s="246"/>
      <c r="G13" s="246"/>
      <c r="H13" s="246"/>
      <c r="I13" s="246"/>
      <c r="J13" s="246"/>
    </row>
    <row r="14" spans="2:10" ht="15.75" customHeight="1" x14ac:dyDescent="0.35">
      <c r="B14" s="171" t="s">
        <v>304</v>
      </c>
      <c r="C14" s="171" t="s">
        <v>392</v>
      </c>
      <c r="D14" s="171" t="s">
        <v>308</v>
      </c>
      <c r="E14" s="171"/>
      <c r="F14" s="171"/>
      <c r="G14" s="171"/>
      <c r="H14" s="171"/>
      <c r="I14" s="171"/>
      <c r="J14" s="171"/>
    </row>
    <row r="15" spans="2:10" ht="15.75" customHeight="1" x14ac:dyDescent="0.35">
      <c r="B15" s="165" t="s">
        <v>393</v>
      </c>
      <c r="C15" s="172">
        <f>'2 · Your Copilot Practice'!C7</f>
        <v>15</v>
      </c>
      <c r="D15" s="169" t="s">
        <v>394</v>
      </c>
    </row>
    <row r="16" spans="2:10" ht="15.75" customHeight="1" x14ac:dyDescent="0.35">
      <c r="B16" s="170" t="s">
        <v>395</v>
      </c>
      <c r="C16" s="173">
        <f>'2 · Your Copilot Practice'!D7</f>
        <v>50</v>
      </c>
      <c r="D16" s="39" t="s">
        <v>394</v>
      </c>
    </row>
    <row r="17" spans="2:10" ht="15.75" customHeight="1" x14ac:dyDescent="0.35">
      <c r="B17" s="165" t="s">
        <v>396</v>
      </c>
      <c r="C17" s="174">
        <f>'2 · Your Copilot Practice'!E7</f>
        <v>12</v>
      </c>
      <c r="D17" s="169" t="s">
        <v>394</v>
      </c>
    </row>
    <row r="18" spans="2:10" ht="15.75" customHeight="1" x14ac:dyDescent="0.35">
      <c r="B18" s="170" t="s">
        <v>397</v>
      </c>
      <c r="C18" s="175">
        <f>'2 · Your Copilot Practice'!H7</f>
        <v>108000</v>
      </c>
      <c r="D18" s="39" t="s">
        <v>394</v>
      </c>
    </row>
    <row r="19" spans="2:10" ht="15.75" customHeight="1" x14ac:dyDescent="0.35">
      <c r="B19" s="165" t="s">
        <v>398</v>
      </c>
      <c r="C19" s="176">
        <f>'2 · Your Copilot Practice'!H39</f>
        <v>264600</v>
      </c>
      <c r="D19" s="169" t="s">
        <v>399</v>
      </c>
    </row>
    <row r="20" spans="2:10" ht="15.75" customHeight="1" x14ac:dyDescent="0.35">
      <c r="B20" s="170" t="s">
        <v>400</v>
      </c>
      <c r="C20" s="175">
        <f>'1 · Your Business Today'!C18</f>
        <v>2384000</v>
      </c>
      <c r="D20" s="39" t="s">
        <v>401</v>
      </c>
    </row>
    <row r="21" spans="2:10" ht="15.75" customHeight="1" x14ac:dyDescent="0.35">
      <c r="B21" s="165" t="s">
        <v>402</v>
      </c>
      <c r="C21" s="176">
        <f>'1 · Your Business Today'!F24</f>
        <v>129760</v>
      </c>
      <c r="D21" s="169" t="s">
        <v>403</v>
      </c>
    </row>
    <row r="22" spans="2:10" ht="15.75" customHeight="1" x14ac:dyDescent="0.35">
      <c r="B22" s="170" t="s">
        <v>404</v>
      </c>
      <c r="C22" s="175">
        <f>'2 · Your Copilot Practice'!H46</f>
        <v>0</v>
      </c>
      <c r="D22" s="39" t="s">
        <v>405</v>
      </c>
    </row>
    <row r="24" spans="2:10" ht="18" customHeight="1" x14ac:dyDescent="0.35">
      <c r="B24" s="245" t="s">
        <v>406</v>
      </c>
      <c r="C24" s="246"/>
      <c r="D24" s="246"/>
      <c r="E24" s="246"/>
      <c r="F24" s="246"/>
      <c r="G24" s="246"/>
      <c r="H24" s="246"/>
      <c r="I24" s="246"/>
      <c r="J24" s="246"/>
    </row>
    <row r="25" spans="2:10" ht="18" customHeight="1" x14ac:dyDescent="0.35">
      <c r="B25" s="164" t="s">
        <v>407</v>
      </c>
      <c r="C25" s="164" t="s">
        <v>374</v>
      </c>
      <c r="D25" s="164" t="s">
        <v>375</v>
      </c>
      <c r="E25" s="164" t="s">
        <v>376</v>
      </c>
      <c r="F25" s="164"/>
      <c r="G25" s="164" t="s">
        <v>408</v>
      </c>
      <c r="H25" s="164" t="s">
        <v>409</v>
      </c>
      <c r="I25" s="164" t="s">
        <v>410</v>
      </c>
      <c r="J25" s="164"/>
    </row>
    <row r="26" spans="2:10" ht="18" customHeight="1" x14ac:dyDescent="0.35">
      <c r="B26" s="165" t="s">
        <v>411</v>
      </c>
      <c r="C26" s="177">
        <f>ROUND(C7*25*4,0)</f>
        <v>15</v>
      </c>
      <c r="D26" s="178">
        <f>ROUND(D7*25*4,0)</f>
        <v>25</v>
      </c>
      <c r="E26" s="179">
        <f>ROUND(E7*25*4,0)</f>
        <v>40</v>
      </c>
      <c r="H26" s="172">
        <f t="shared" ref="H26:H33" si="0">C26-D26</f>
        <v>-10</v>
      </c>
      <c r="I26" s="172">
        <f t="shared" ref="I26:I33" si="1">E26-D26</f>
        <v>15</v>
      </c>
      <c r="J26" s="180" t="s">
        <v>412</v>
      </c>
    </row>
    <row r="27" spans="2:10" ht="18" customHeight="1" x14ac:dyDescent="0.35">
      <c r="B27" s="170" t="s">
        <v>413</v>
      </c>
      <c r="C27" s="181">
        <f>ROUND(C19*(1-C11)+C7*25*C16*C17*12,0)</f>
        <v>251910</v>
      </c>
      <c r="D27" s="182">
        <f>ROUND(C19*(1-D11)+D7*25*C16*C17*12,0)</f>
        <v>288432</v>
      </c>
      <c r="E27" s="183">
        <f>ROUND(C19*(1-E11)+E7*25*C16*C17*12,0)</f>
        <v>328662</v>
      </c>
      <c r="H27" s="175">
        <f t="shared" si="0"/>
        <v>-36522</v>
      </c>
      <c r="I27" s="175">
        <f t="shared" si="1"/>
        <v>40230</v>
      </c>
      <c r="J27" s="184" t="s">
        <v>414</v>
      </c>
    </row>
    <row r="28" spans="2:10" ht="18" customHeight="1" x14ac:dyDescent="0.35">
      <c r="B28" s="165" t="s">
        <v>415</v>
      </c>
      <c r="C28" s="185">
        <f>IF(C15&gt;0,ROUND((C18/C15)*(1-C8)+(C18/C15)*C8*2.88,0),0)</f>
        <v>9907</v>
      </c>
      <c r="D28" s="186">
        <f>IF(C15&gt;0,ROUND((C18/C15)*(1-D8)+(C18/C15)*D8*2.88,0),0)</f>
        <v>11938</v>
      </c>
      <c r="E28" s="187">
        <f>IF(C15&gt;0,ROUND((C18/C15)*(1-E8)+(C18/C15)*E8*2.88,0),0)</f>
        <v>14645</v>
      </c>
      <c r="H28" s="176">
        <f t="shared" si="0"/>
        <v>-2031</v>
      </c>
      <c r="I28" s="176">
        <f t="shared" si="1"/>
        <v>2707</v>
      </c>
      <c r="J28" s="180" t="s">
        <v>416</v>
      </c>
    </row>
    <row r="29" spans="2:10" ht="18" customHeight="1" x14ac:dyDescent="0.35">
      <c r="B29" s="170" t="s">
        <v>417</v>
      </c>
      <c r="C29" s="188">
        <f>IF(C9&gt;0,ROUND(C22/(1600*C9),2),0)</f>
        <v>0</v>
      </c>
      <c r="D29" s="189">
        <f>IF(D9&gt;0,ROUND(C22/(1600*D9),2),0)</f>
        <v>0</v>
      </c>
      <c r="E29" s="190">
        <f>IF(E9&gt;0,ROUND(C22/(1600*E9),2),0)</f>
        <v>0</v>
      </c>
      <c r="H29" s="191">
        <f t="shared" si="0"/>
        <v>0</v>
      </c>
      <c r="I29" s="191">
        <f t="shared" si="1"/>
        <v>0</v>
      </c>
      <c r="J29" s="184" t="s">
        <v>418</v>
      </c>
    </row>
    <row r="30" spans="2:10" ht="18" customHeight="1" x14ac:dyDescent="0.35">
      <c r="B30" s="165" t="s">
        <v>419</v>
      </c>
      <c r="C30" s="181">
        <f>IF(C9&gt;0,ROUND(C22*(1+C10)/C9,0),0)</f>
        <v>0</v>
      </c>
      <c r="D30" s="182">
        <f>IF(D9&gt;0,ROUND(C22*(1+D10)/D9,0),0)</f>
        <v>0</v>
      </c>
      <c r="E30" s="183">
        <f>IF(E9&gt;0,ROUND(C22*(1+E10)/E9,0),0)</f>
        <v>0</v>
      </c>
      <c r="H30" s="176">
        <f t="shared" si="0"/>
        <v>0</v>
      </c>
      <c r="I30" s="176">
        <f t="shared" si="1"/>
        <v>0</v>
      </c>
      <c r="J30" s="180" t="s">
        <v>420</v>
      </c>
    </row>
    <row r="31" spans="2:10" ht="18" customHeight="1" x14ac:dyDescent="0.35">
      <c r="B31" s="170" t="s">
        <v>421</v>
      </c>
      <c r="C31" s="185">
        <f>ROUND(C27*0.42-(C30-C22),0)</f>
        <v>105802</v>
      </c>
      <c r="D31" s="186">
        <f>ROUND(D27*0.46-(D30-C22),0)</f>
        <v>132679</v>
      </c>
      <c r="E31" s="187">
        <f>ROUND(E27*0.5-(E30-C22),0)</f>
        <v>164331</v>
      </c>
      <c r="H31" s="175">
        <f t="shared" si="0"/>
        <v>-26877</v>
      </c>
      <c r="I31" s="175">
        <f t="shared" si="1"/>
        <v>31652</v>
      </c>
      <c r="J31" s="184" t="s">
        <v>422</v>
      </c>
    </row>
    <row r="32" spans="2:10" ht="18" customHeight="1" x14ac:dyDescent="0.35">
      <c r="B32" s="165" t="s">
        <v>423</v>
      </c>
      <c r="C32" s="181">
        <f>ROUND(C27*(1-C11)*(1-C11),0)</f>
        <v>182005</v>
      </c>
      <c r="D32" s="182">
        <f>ROUND(D27*(1-D11)*(1-D11),0)</f>
        <v>244129</v>
      </c>
      <c r="E32" s="183">
        <f>ROUND(E27*(1-E11)*(1-E11),0)</f>
        <v>309238</v>
      </c>
      <c r="H32" s="176">
        <f t="shared" si="0"/>
        <v>-62124</v>
      </c>
      <c r="I32" s="176">
        <f t="shared" si="1"/>
        <v>65109</v>
      </c>
      <c r="J32" s="180" t="s">
        <v>424</v>
      </c>
    </row>
    <row r="33" spans="2:10" ht="18" customHeight="1" x14ac:dyDescent="0.35">
      <c r="B33" s="170" t="s">
        <v>425</v>
      </c>
      <c r="C33" s="192">
        <f>IF((C20+C27)&gt;0,C31/(C20+C27),0)</f>
        <v>4.0138699727987677E-2</v>
      </c>
      <c r="D33" s="193">
        <f>IF((C20+D27)&gt;0,D31/(C20+D27),0)</f>
        <v>4.9647287564286012E-2</v>
      </c>
      <c r="E33" s="194">
        <f>IF((C20+E27)&gt;0,E31/(C20+E27),0)</f>
        <v>6.0579239138528869E-2</v>
      </c>
      <c r="H33" s="195">
        <f t="shared" si="0"/>
        <v>-9.508587836298335E-3</v>
      </c>
      <c r="I33" s="195">
        <f t="shared" si="1"/>
        <v>1.0931951574242857E-2</v>
      </c>
      <c r="J33" s="184" t="s">
        <v>426</v>
      </c>
    </row>
    <row r="36" spans="2:10" ht="18" customHeight="1" x14ac:dyDescent="0.35">
      <c r="B36" s="268" t="s">
        <v>427</v>
      </c>
      <c r="C36" s="246"/>
      <c r="D36" s="246"/>
      <c r="E36" s="246"/>
      <c r="F36" s="246"/>
      <c r="G36" s="246"/>
      <c r="H36" s="246"/>
      <c r="I36" s="246"/>
      <c r="J36" s="246"/>
    </row>
    <row r="37" spans="2:10" ht="27.75" customHeight="1" x14ac:dyDescent="0.35">
      <c r="B37" s="196" t="s">
        <v>374</v>
      </c>
      <c r="C37" s="284" t="s">
        <v>428</v>
      </c>
      <c r="D37" s="246"/>
      <c r="E37" s="246"/>
      <c r="F37" s="246"/>
      <c r="G37" s="246"/>
      <c r="H37" s="246"/>
      <c r="I37" s="246"/>
      <c r="J37" s="246"/>
    </row>
    <row r="38" spans="2:10" ht="27.75" customHeight="1" x14ac:dyDescent="0.35">
      <c r="B38" s="197" t="s">
        <v>375</v>
      </c>
      <c r="C38" s="283" t="s">
        <v>429</v>
      </c>
      <c r="D38" s="246"/>
      <c r="E38" s="246"/>
      <c r="F38" s="246"/>
      <c r="G38" s="246"/>
      <c r="H38" s="246"/>
      <c r="I38" s="246"/>
      <c r="J38" s="246"/>
    </row>
    <row r="39" spans="2:10" ht="27.75" customHeight="1" x14ac:dyDescent="0.35">
      <c r="B39" s="198" t="s">
        <v>376</v>
      </c>
      <c r="C39" s="285" t="s">
        <v>430</v>
      </c>
      <c r="D39" s="246"/>
      <c r="E39" s="246"/>
      <c r="F39" s="246"/>
      <c r="G39" s="246"/>
      <c r="H39" s="246"/>
      <c r="I39" s="246"/>
      <c r="J39" s="246"/>
    </row>
    <row r="40" spans="2:10" ht="27.75" customHeight="1" x14ac:dyDescent="0.35">
      <c r="B40" s="199" t="s">
        <v>431</v>
      </c>
      <c r="C40" s="286" t="s">
        <v>432</v>
      </c>
      <c r="D40" s="246"/>
      <c r="E40" s="246"/>
      <c r="F40" s="246"/>
      <c r="G40" s="246"/>
      <c r="H40" s="246"/>
      <c r="I40" s="246"/>
      <c r="J40" s="246"/>
    </row>
    <row r="42" spans="2:10" ht="18" customHeight="1" x14ac:dyDescent="0.35">
      <c r="B42" s="282" t="s">
        <v>433</v>
      </c>
      <c r="C42" s="246"/>
      <c r="D42" s="246"/>
      <c r="E42" s="246"/>
      <c r="F42" s="246"/>
      <c r="G42" s="246"/>
      <c r="H42" s="246"/>
      <c r="I42" s="246"/>
      <c r="J42" s="246"/>
    </row>
  </sheetData>
  <mergeCells count="11">
    <mergeCell ref="B2:J2"/>
    <mergeCell ref="C37:J37"/>
    <mergeCell ref="B13:J13"/>
    <mergeCell ref="C39:J39"/>
    <mergeCell ref="C40:J40"/>
    <mergeCell ref="B24:J24"/>
    <mergeCell ref="B3:J3"/>
    <mergeCell ref="B5:J5"/>
    <mergeCell ref="B42:J42"/>
    <mergeCell ref="B36:J36"/>
    <mergeCell ref="C38:J38"/>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37"/>
  <sheetViews>
    <sheetView zoomScaleNormal="100" workbookViewId="0"/>
  </sheetViews>
  <sheetFormatPr defaultColWidth="8.6328125" defaultRowHeight="14.5" x14ac:dyDescent="0.35"/>
  <cols>
    <col min="1" max="1" width="0.81640625" customWidth="1"/>
    <col min="2" max="2" width="36" customWidth="1"/>
    <col min="3" max="3" width="28.453125" customWidth="1"/>
    <col min="4" max="4" width="38.6328125" customWidth="1"/>
    <col min="5" max="6" width="20" customWidth="1"/>
    <col min="7" max="7" width="0.81640625" customWidth="1"/>
  </cols>
  <sheetData>
    <row r="2" spans="2:6" ht="21.75" customHeight="1" x14ac:dyDescent="0.35">
      <c r="B2" s="247" t="s">
        <v>0</v>
      </c>
      <c r="C2" s="246"/>
      <c r="D2" s="246"/>
      <c r="E2" s="246"/>
      <c r="F2" s="246"/>
    </row>
    <row r="3" spans="2:6" ht="15.75" customHeight="1" x14ac:dyDescent="0.35">
      <c r="B3" s="245" t="s">
        <v>434</v>
      </c>
      <c r="C3" s="246"/>
      <c r="D3" s="246"/>
      <c r="E3" s="246"/>
      <c r="F3" s="246"/>
    </row>
    <row r="5" spans="2:6" ht="18" customHeight="1" x14ac:dyDescent="0.35">
      <c r="B5" s="250" t="s">
        <v>435</v>
      </c>
      <c r="C5" s="246"/>
      <c r="D5" s="246"/>
      <c r="E5" s="246"/>
      <c r="F5" s="246"/>
    </row>
    <row r="6" spans="2:6" x14ac:dyDescent="0.35">
      <c r="B6" s="200" t="s">
        <v>436</v>
      </c>
      <c r="C6" s="33" t="s">
        <v>437</v>
      </c>
      <c r="D6" s="33" t="s">
        <v>438</v>
      </c>
      <c r="E6" s="33" t="s">
        <v>439</v>
      </c>
    </row>
    <row r="7" spans="2:6" ht="39.75" customHeight="1" x14ac:dyDescent="0.35">
      <c r="B7" s="201" t="s">
        <v>440</v>
      </c>
      <c r="C7" s="202" t="s">
        <v>441</v>
      </c>
      <c r="D7" s="203" t="s">
        <v>442</v>
      </c>
      <c r="E7" s="204" t="s">
        <v>443</v>
      </c>
    </row>
    <row r="8" spans="2:6" ht="39.75" customHeight="1" x14ac:dyDescent="0.35">
      <c r="B8" s="201" t="s">
        <v>444</v>
      </c>
      <c r="C8" s="202" t="s">
        <v>445</v>
      </c>
      <c r="D8" s="203" t="s">
        <v>446</v>
      </c>
      <c r="E8" s="204" t="s">
        <v>443</v>
      </c>
    </row>
    <row r="9" spans="2:6" ht="39.75" customHeight="1" x14ac:dyDescent="0.35">
      <c r="B9" s="201" t="s">
        <v>447</v>
      </c>
      <c r="C9" s="202" t="s">
        <v>448</v>
      </c>
      <c r="D9" s="203" t="s">
        <v>449</v>
      </c>
      <c r="E9" s="204" t="s">
        <v>443</v>
      </c>
    </row>
    <row r="10" spans="2:6" ht="39.75" customHeight="1" x14ac:dyDescent="0.35">
      <c r="B10" s="201" t="s">
        <v>450</v>
      </c>
      <c r="C10" s="202" t="s">
        <v>451</v>
      </c>
      <c r="D10" s="203" t="s">
        <v>452</v>
      </c>
      <c r="E10" s="204" t="s">
        <v>443</v>
      </c>
    </row>
    <row r="12" spans="2:6" ht="18" customHeight="1" x14ac:dyDescent="0.35">
      <c r="B12" s="250" t="s">
        <v>453</v>
      </c>
      <c r="C12" s="246"/>
      <c r="D12" s="246"/>
      <c r="E12" s="246"/>
      <c r="F12" s="246"/>
    </row>
    <row r="13" spans="2:6" x14ac:dyDescent="0.35">
      <c r="B13" s="200" t="s">
        <v>150</v>
      </c>
      <c r="C13" s="33" t="s">
        <v>454</v>
      </c>
      <c r="D13" s="33" t="s">
        <v>455</v>
      </c>
      <c r="E13" s="33" t="s">
        <v>456</v>
      </c>
    </row>
    <row r="14" spans="2:6" ht="15.75" customHeight="1" x14ac:dyDescent="0.35">
      <c r="B14" s="248" t="s">
        <v>457</v>
      </c>
      <c r="C14" s="246"/>
      <c r="D14" s="246"/>
      <c r="E14" s="246"/>
      <c r="F14" s="246"/>
    </row>
    <row r="15" spans="2:6" ht="31.5" customHeight="1" x14ac:dyDescent="0.35">
      <c r="B15" s="201" t="s">
        <v>458</v>
      </c>
      <c r="C15" s="202" t="s">
        <v>459</v>
      </c>
      <c r="D15" s="202" t="s">
        <v>460</v>
      </c>
      <c r="E15" s="205" t="s">
        <v>461</v>
      </c>
    </row>
    <row r="16" spans="2:6" ht="31.5" customHeight="1" x14ac:dyDescent="0.35">
      <c r="B16" s="201" t="s">
        <v>462</v>
      </c>
      <c r="C16" s="202" t="s">
        <v>463</v>
      </c>
      <c r="D16" s="202" t="s">
        <v>464</v>
      </c>
      <c r="E16" s="205" t="s">
        <v>465</v>
      </c>
    </row>
    <row r="17" spans="2:6" ht="31.5" customHeight="1" x14ac:dyDescent="0.35">
      <c r="B17" s="201" t="s">
        <v>466</v>
      </c>
      <c r="C17" s="202" t="s">
        <v>467</v>
      </c>
      <c r="D17" s="202" t="s">
        <v>468</v>
      </c>
      <c r="E17" s="205" t="s">
        <v>469</v>
      </c>
    </row>
    <row r="18" spans="2:6" ht="31.5" customHeight="1" x14ac:dyDescent="0.35">
      <c r="B18" s="201" t="s">
        <v>470</v>
      </c>
      <c r="C18" s="202" t="s">
        <v>471</v>
      </c>
      <c r="D18" s="202" t="s">
        <v>472</v>
      </c>
      <c r="E18" s="205" t="s">
        <v>473</v>
      </c>
    </row>
    <row r="19" spans="2:6" ht="31.5" customHeight="1" x14ac:dyDescent="0.35">
      <c r="B19" s="201" t="s">
        <v>474</v>
      </c>
      <c r="C19" s="202" t="s">
        <v>475</v>
      </c>
      <c r="D19" s="202" t="s">
        <v>476</v>
      </c>
      <c r="E19" s="205" t="s">
        <v>477</v>
      </c>
    </row>
    <row r="21" spans="2:6" ht="15.75" customHeight="1" x14ac:dyDescent="0.35">
      <c r="B21" s="248" t="s">
        <v>478</v>
      </c>
      <c r="C21" s="246"/>
      <c r="D21" s="246"/>
      <c r="E21" s="246"/>
      <c r="F21" s="246"/>
    </row>
    <row r="22" spans="2:6" ht="31.5" customHeight="1" x14ac:dyDescent="0.35">
      <c r="B22" s="201" t="s">
        <v>479</v>
      </c>
      <c r="C22" s="202" t="s">
        <v>480</v>
      </c>
      <c r="D22" s="202" t="s">
        <v>481</v>
      </c>
      <c r="E22" s="206" t="s">
        <v>482</v>
      </c>
    </row>
    <row r="23" spans="2:6" ht="31.5" customHeight="1" x14ac:dyDescent="0.35">
      <c r="B23" s="201" t="s">
        <v>483</v>
      </c>
      <c r="C23" s="202" t="s">
        <v>484</v>
      </c>
      <c r="D23" s="202" t="s">
        <v>485</v>
      </c>
      <c r="E23" s="206" t="s">
        <v>486</v>
      </c>
    </row>
    <row r="24" spans="2:6" ht="31.5" customHeight="1" x14ac:dyDescent="0.35">
      <c r="B24" s="201" t="s">
        <v>487</v>
      </c>
      <c r="C24" s="202" t="s">
        <v>488</v>
      </c>
      <c r="D24" s="202" t="s">
        <v>489</v>
      </c>
      <c r="E24" s="206" t="s">
        <v>490</v>
      </c>
    </row>
    <row r="25" spans="2:6" ht="31.5" customHeight="1" x14ac:dyDescent="0.35">
      <c r="B25" s="201" t="s">
        <v>491</v>
      </c>
      <c r="C25" s="202" t="s">
        <v>492</v>
      </c>
      <c r="D25" s="202" t="s">
        <v>493</v>
      </c>
      <c r="E25" s="206" t="s">
        <v>494</v>
      </c>
    </row>
    <row r="26" spans="2:6" ht="31.5" customHeight="1" x14ac:dyDescent="0.35">
      <c r="B26" s="201" t="s">
        <v>495</v>
      </c>
      <c r="C26" s="202" t="s">
        <v>496</v>
      </c>
      <c r="D26" s="202" t="s">
        <v>497</v>
      </c>
      <c r="E26" s="206" t="s">
        <v>498</v>
      </c>
    </row>
    <row r="28" spans="2:6" ht="18" customHeight="1" x14ac:dyDescent="0.35">
      <c r="B28" s="250" t="s">
        <v>499</v>
      </c>
      <c r="C28" s="246"/>
      <c r="D28" s="246"/>
      <c r="E28" s="246"/>
      <c r="F28" s="246"/>
    </row>
    <row r="29" spans="2:6" x14ac:dyDescent="0.35">
      <c r="B29" s="200" t="s">
        <v>500</v>
      </c>
      <c r="C29" s="33" t="s">
        <v>392</v>
      </c>
      <c r="D29" s="33" t="s">
        <v>501</v>
      </c>
      <c r="E29" s="33" t="s">
        <v>502</v>
      </c>
    </row>
    <row r="30" spans="2:6" ht="23" customHeight="1" x14ac:dyDescent="0.35">
      <c r="B30" s="207" t="s">
        <v>503</v>
      </c>
      <c r="C30" s="204">
        <v>15000</v>
      </c>
      <c r="E30" s="208" t="s">
        <v>504</v>
      </c>
    </row>
    <row r="31" spans="2:6" ht="23" customHeight="1" x14ac:dyDescent="0.35">
      <c r="B31" s="207" t="s">
        <v>505</v>
      </c>
      <c r="D31" s="209">
        <f>C30*0.1</f>
        <v>1500</v>
      </c>
      <c r="E31" s="208" t="s">
        <v>506</v>
      </c>
    </row>
    <row r="32" spans="2:6" ht="23" customHeight="1" x14ac:dyDescent="0.35">
      <c r="B32" s="207" t="s">
        <v>507</v>
      </c>
      <c r="D32" s="209">
        <f>C30*0.25</f>
        <v>3750</v>
      </c>
      <c r="E32" s="208" t="s">
        <v>508</v>
      </c>
    </row>
    <row r="33" spans="2:6" ht="23" customHeight="1" x14ac:dyDescent="0.35">
      <c r="B33" s="210" t="s">
        <v>509</v>
      </c>
      <c r="D33" s="211">
        <f>C30+C32</f>
        <v>15000</v>
      </c>
      <c r="E33" s="208" t="s">
        <v>510</v>
      </c>
    </row>
    <row r="34" spans="2:6" ht="23" customHeight="1" x14ac:dyDescent="0.35">
      <c r="B34" s="207" t="s">
        <v>511</v>
      </c>
      <c r="D34" s="209">
        <f>C30+C31</f>
        <v>15000</v>
      </c>
      <c r="E34" s="208" t="s">
        <v>512</v>
      </c>
    </row>
    <row r="36" spans="2:6" ht="13.5" customHeight="1" x14ac:dyDescent="0.35">
      <c r="B36" s="249" t="s">
        <v>513</v>
      </c>
      <c r="C36" s="246"/>
      <c r="D36" s="246"/>
      <c r="E36" s="246"/>
      <c r="F36" s="246"/>
    </row>
    <row r="37" spans="2:6" ht="15" customHeight="1" x14ac:dyDescent="0.35">
      <c r="B37" s="249" t="s">
        <v>514</v>
      </c>
      <c r="C37" s="246"/>
      <c r="D37" s="246"/>
      <c r="E37" s="246"/>
      <c r="F37" s="246"/>
    </row>
  </sheetData>
  <mergeCells count="9">
    <mergeCell ref="B37:F37"/>
    <mergeCell ref="B36:F36"/>
    <mergeCell ref="B14:F14"/>
    <mergeCell ref="B21:F21"/>
    <mergeCell ref="B12:F12"/>
    <mergeCell ref="B2:F2"/>
    <mergeCell ref="B28:F28"/>
    <mergeCell ref="B3:F3"/>
    <mergeCell ref="B5:F5"/>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48"/>
  <sheetViews>
    <sheetView topLeftCell="A5" zoomScaleNormal="100" workbookViewId="0"/>
  </sheetViews>
  <sheetFormatPr defaultColWidth="8.6328125" defaultRowHeight="14.5" x14ac:dyDescent="0.35"/>
  <cols>
    <col min="1" max="1" width="0.81640625" customWidth="1"/>
    <col min="2" max="2" width="30" customWidth="1"/>
    <col min="3" max="3" width="22" customWidth="1"/>
    <col min="4" max="4" width="47.1796875" customWidth="1"/>
    <col min="5" max="6" width="18" customWidth="1"/>
    <col min="7" max="7" width="16" customWidth="1"/>
    <col min="8" max="8" width="0.81640625" customWidth="1"/>
  </cols>
  <sheetData>
    <row r="2" spans="2:7" ht="21.75" customHeight="1" x14ac:dyDescent="0.35">
      <c r="B2" s="247" t="s">
        <v>0</v>
      </c>
      <c r="C2" s="246"/>
      <c r="D2" s="246"/>
      <c r="E2" s="246"/>
      <c r="F2" s="246"/>
      <c r="G2" s="246"/>
    </row>
    <row r="3" spans="2:7" ht="15.75" customHeight="1" x14ac:dyDescent="0.35">
      <c r="B3" s="245" t="s">
        <v>1</v>
      </c>
      <c r="C3" s="246"/>
      <c r="D3" s="246"/>
      <c r="E3" s="246"/>
      <c r="F3" s="246"/>
      <c r="G3" s="246"/>
    </row>
    <row r="5" spans="2:7" ht="18" customHeight="1" x14ac:dyDescent="0.35">
      <c r="B5" s="250" t="s">
        <v>2</v>
      </c>
      <c r="C5" s="246"/>
      <c r="D5" s="246"/>
      <c r="E5" s="246"/>
      <c r="F5" s="246"/>
      <c r="G5" s="246"/>
    </row>
    <row r="6" spans="2:7" x14ac:dyDescent="0.35">
      <c r="B6" s="200" t="s">
        <v>3</v>
      </c>
      <c r="C6" s="33" t="s">
        <v>4</v>
      </c>
      <c r="D6" s="33" t="s">
        <v>5</v>
      </c>
      <c r="E6" s="33" t="s">
        <v>6</v>
      </c>
      <c r="F6" s="33" t="s">
        <v>7</v>
      </c>
    </row>
    <row r="7" spans="2:7" ht="15.75" customHeight="1" x14ac:dyDescent="0.35">
      <c r="B7" s="248" t="s">
        <v>8</v>
      </c>
      <c r="C7" s="246"/>
      <c r="D7" s="246"/>
      <c r="E7" s="246"/>
      <c r="F7" s="246"/>
      <c r="G7" s="246"/>
    </row>
    <row r="8" spans="2:7" ht="39.75" customHeight="1" x14ac:dyDescent="0.35">
      <c r="B8" s="212" t="s">
        <v>9</v>
      </c>
      <c r="C8" s="201" t="s">
        <v>10</v>
      </c>
      <c r="D8" s="202" t="s">
        <v>11</v>
      </c>
      <c r="E8" s="213" t="s">
        <v>12</v>
      </c>
      <c r="F8" s="214" t="s">
        <v>13</v>
      </c>
    </row>
    <row r="9" spans="2:7" ht="39.75" customHeight="1" x14ac:dyDescent="0.35">
      <c r="B9" s="212" t="s">
        <v>9</v>
      </c>
      <c r="C9" s="201" t="s">
        <v>14</v>
      </c>
      <c r="D9" s="202" t="s">
        <v>15</v>
      </c>
      <c r="E9" s="213" t="s">
        <v>16</v>
      </c>
      <c r="F9" s="214" t="s">
        <v>17</v>
      </c>
    </row>
    <row r="10" spans="2:7" ht="39.75" customHeight="1" x14ac:dyDescent="0.35">
      <c r="B10" s="212" t="s">
        <v>9</v>
      </c>
      <c r="C10" s="201" t="s">
        <v>18</v>
      </c>
      <c r="D10" s="202" t="s">
        <v>19</v>
      </c>
      <c r="E10" s="213" t="s">
        <v>20</v>
      </c>
      <c r="F10" s="214" t="s">
        <v>21</v>
      </c>
    </row>
    <row r="11" spans="2:7" ht="39.75" customHeight="1" x14ac:dyDescent="0.35">
      <c r="B11" s="212" t="s">
        <v>9</v>
      </c>
      <c r="C11" s="201" t="s">
        <v>22</v>
      </c>
      <c r="D11" s="202" t="s">
        <v>23</v>
      </c>
      <c r="E11" s="213" t="s">
        <v>12</v>
      </c>
      <c r="F11" s="214" t="s">
        <v>24</v>
      </c>
    </row>
    <row r="13" spans="2:7" ht="15.75" customHeight="1" x14ac:dyDescent="0.35">
      <c r="B13" s="248" t="s">
        <v>25</v>
      </c>
      <c r="C13" s="246"/>
      <c r="D13" s="246"/>
      <c r="E13" s="246"/>
      <c r="F13" s="246"/>
      <c r="G13" s="246"/>
    </row>
    <row r="14" spans="2:7" ht="39.75" customHeight="1" x14ac:dyDescent="0.35">
      <c r="B14" s="212" t="s">
        <v>26</v>
      </c>
      <c r="C14" s="201" t="s">
        <v>27</v>
      </c>
      <c r="D14" s="202" t="s">
        <v>28</v>
      </c>
      <c r="E14" s="213" t="s">
        <v>20</v>
      </c>
      <c r="F14" s="214" t="s">
        <v>29</v>
      </c>
    </row>
    <row r="15" spans="2:7" ht="39.75" customHeight="1" x14ac:dyDescent="0.35">
      <c r="B15" s="212" t="s">
        <v>26</v>
      </c>
      <c r="C15" s="201" t="s">
        <v>30</v>
      </c>
      <c r="D15" s="202" t="s">
        <v>31</v>
      </c>
      <c r="E15" s="213" t="s">
        <v>12</v>
      </c>
      <c r="F15" s="214" t="s">
        <v>24</v>
      </c>
    </row>
    <row r="16" spans="2:7" ht="39.75" customHeight="1" x14ac:dyDescent="0.35">
      <c r="B16" s="212" t="s">
        <v>26</v>
      </c>
      <c r="C16" s="201" t="s">
        <v>32</v>
      </c>
      <c r="D16" s="202" t="s">
        <v>33</v>
      </c>
      <c r="E16" s="213" t="s">
        <v>34</v>
      </c>
      <c r="F16" s="214" t="s">
        <v>35</v>
      </c>
    </row>
    <row r="17" spans="2:7" ht="39.75" customHeight="1" x14ac:dyDescent="0.35">
      <c r="B17" s="212" t="s">
        <v>26</v>
      </c>
      <c r="C17" s="201" t="s">
        <v>36</v>
      </c>
      <c r="D17" s="202" t="s">
        <v>37</v>
      </c>
      <c r="E17" s="213" t="s">
        <v>38</v>
      </c>
      <c r="F17" s="214" t="s">
        <v>39</v>
      </c>
    </row>
    <row r="19" spans="2:7" ht="15.75" customHeight="1" x14ac:dyDescent="0.35">
      <c r="B19" s="248" t="s">
        <v>40</v>
      </c>
      <c r="C19" s="246"/>
      <c r="D19" s="246"/>
      <c r="E19" s="246"/>
      <c r="F19" s="246"/>
      <c r="G19" s="246"/>
    </row>
    <row r="20" spans="2:7" ht="39.75" customHeight="1" x14ac:dyDescent="0.35">
      <c r="B20" s="212" t="s">
        <v>41</v>
      </c>
      <c r="C20" s="201" t="s">
        <v>42</v>
      </c>
      <c r="D20" s="202" t="s">
        <v>43</v>
      </c>
      <c r="E20" s="213" t="s">
        <v>38</v>
      </c>
      <c r="F20" s="214" t="s">
        <v>39</v>
      </c>
    </row>
    <row r="21" spans="2:7" ht="39.75" customHeight="1" x14ac:dyDescent="0.35">
      <c r="B21" s="212" t="s">
        <v>41</v>
      </c>
      <c r="C21" s="201" t="s">
        <v>44</v>
      </c>
      <c r="D21" s="202" t="s">
        <v>45</v>
      </c>
      <c r="E21" s="213" t="s">
        <v>46</v>
      </c>
      <c r="F21" s="214" t="s">
        <v>47</v>
      </c>
    </row>
    <row r="22" spans="2:7" ht="39.75" customHeight="1" x14ac:dyDescent="0.35">
      <c r="B22" s="212" t="s">
        <v>41</v>
      </c>
      <c r="C22" s="201" t="s">
        <v>48</v>
      </c>
      <c r="D22" s="202" t="s">
        <v>49</v>
      </c>
      <c r="E22" s="213" t="s">
        <v>50</v>
      </c>
      <c r="F22" s="214" t="s">
        <v>29</v>
      </c>
    </row>
    <row r="23" spans="2:7" ht="39.75" customHeight="1" x14ac:dyDescent="0.35">
      <c r="B23" s="212" t="s">
        <v>41</v>
      </c>
      <c r="C23" s="201" t="s">
        <v>51</v>
      </c>
      <c r="D23" s="202" t="s">
        <v>52</v>
      </c>
      <c r="E23" s="213" t="s">
        <v>20</v>
      </c>
      <c r="F23" s="214" t="s">
        <v>13</v>
      </c>
    </row>
    <row r="25" spans="2:7" ht="15.75" customHeight="1" x14ac:dyDescent="0.35">
      <c r="B25" s="248" t="s">
        <v>53</v>
      </c>
      <c r="C25" s="246"/>
      <c r="D25" s="246"/>
      <c r="E25" s="246"/>
      <c r="F25" s="246"/>
      <c r="G25" s="246"/>
    </row>
    <row r="26" spans="2:7" ht="39.75" customHeight="1" x14ac:dyDescent="0.35">
      <c r="B26" s="212" t="s">
        <v>54</v>
      </c>
      <c r="C26" s="201" t="s">
        <v>55</v>
      </c>
      <c r="D26" s="202" t="s">
        <v>56</v>
      </c>
      <c r="E26" s="213" t="s">
        <v>34</v>
      </c>
      <c r="F26" s="214" t="s">
        <v>57</v>
      </c>
    </row>
    <row r="27" spans="2:7" ht="39.75" customHeight="1" x14ac:dyDescent="0.35">
      <c r="B27" s="212" t="s">
        <v>54</v>
      </c>
      <c r="C27" s="201" t="s">
        <v>58</v>
      </c>
      <c r="D27" s="202" t="s">
        <v>59</v>
      </c>
      <c r="E27" s="213" t="s">
        <v>60</v>
      </c>
      <c r="F27" s="214" t="s">
        <v>61</v>
      </c>
    </row>
    <row r="28" spans="2:7" ht="39.75" customHeight="1" x14ac:dyDescent="0.35">
      <c r="B28" s="212" t="s">
        <v>54</v>
      </c>
      <c r="C28" s="201" t="s">
        <v>62</v>
      </c>
      <c r="D28" s="202" t="s">
        <v>63</v>
      </c>
      <c r="E28" s="213" t="s">
        <v>20</v>
      </c>
      <c r="F28" s="214" t="s">
        <v>64</v>
      </c>
    </row>
    <row r="29" spans="2:7" ht="39.75" customHeight="1" x14ac:dyDescent="0.35">
      <c r="B29" s="212" t="s">
        <v>54</v>
      </c>
      <c r="C29" s="201" t="s">
        <v>65</v>
      </c>
      <c r="D29" s="202" t="s">
        <v>66</v>
      </c>
      <c r="E29" s="213" t="s">
        <v>46</v>
      </c>
      <c r="F29" s="214" t="s">
        <v>67</v>
      </c>
    </row>
    <row r="32" spans="2:7" ht="18" customHeight="1" x14ac:dyDescent="0.35">
      <c r="B32" s="250" t="s">
        <v>68</v>
      </c>
      <c r="C32" s="246"/>
      <c r="D32" s="246"/>
      <c r="E32" s="246"/>
      <c r="F32" s="246"/>
      <c r="G32" s="246"/>
    </row>
    <row r="33" spans="2:6" x14ac:dyDescent="0.35">
      <c r="B33" s="200" t="s">
        <v>69</v>
      </c>
      <c r="C33" s="33" t="s">
        <v>70</v>
      </c>
      <c r="D33" s="33" t="s">
        <v>71</v>
      </c>
      <c r="E33" s="33" t="s">
        <v>72</v>
      </c>
      <c r="F33" s="33" t="s">
        <v>73</v>
      </c>
    </row>
    <row r="34" spans="2:6" ht="27.75" customHeight="1" x14ac:dyDescent="0.35">
      <c r="B34" s="215" t="s">
        <v>74</v>
      </c>
      <c r="C34" s="216">
        <v>20000</v>
      </c>
      <c r="D34" s="216">
        <v>7500</v>
      </c>
      <c r="E34" s="216">
        <v>20000</v>
      </c>
      <c r="F34" s="217"/>
    </row>
    <row r="35" spans="2:6" ht="27.75" customHeight="1" x14ac:dyDescent="0.35">
      <c r="B35" s="74" t="s">
        <v>75</v>
      </c>
      <c r="C35" s="202" t="s">
        <v>76</v>
      </c>
      <c r="D35" s="202" t="s">
        <v>77</v>
      </c>
      <c r="E35" s="202" t="s">
        <v>78</v>
      </c>
      <c r="F35" s="217"/>
    </row>
    <row r="36" spans="2:6" ht="27.75" customHeight="1" x14ac:dyDescent="0.35">
      <c r="B36" s="74" t="s">
        <v>79</v>
      </c>
      <c r="C36" s="202" t="s">
        <v>80</v>
      </c>
      <c r="D36" s="202" t="s">
        <v>81</v>
      </c>
      <c r="E36" s="202" t="s">
        <v>82</v>
      </c>
      <c r="F36" s="217"/>
    </row>
    <row r="37" spans="2:6" ht="27.75" customHeight="1" x14ac:dyDescent="0.35">
      <c r="B37" s="74" t="s">
        <v>83</v>
      </c>
      <c r="C37" s="202" t="s">
        <v>84</v>
      </c>
      <c r="D37" s="202" t="s">
        <v>85</v>
      </c>
      <c r="E37" s="202" t="s">
        <v>86</v>
      </c>
      <c r="F37" s="217"/>
    </row>
    <row r="38" spans="2:6" ht="27.75" customHeight="1" x14ac:dyDescent="0.35">
      <c r="B38" s="74" t="s">
        <v>87</v>
      </c>
      <c r="C38" s="202" t="s">
        <v>88</v>
      </c>
      <c r="D38" s="202" t="s">
        <v>89</v>
      </c>
      <c r="E38" s="202" t="s">
        <v>90</v>
      </c>
      <c r="F38" s="217"/>
    </row>
    <row r="39" spans="2:6" ht="27.75" customHeight="1" x14ac:dyDescent="0.35">
      <c r="B39" s="74" t="s">
        <v>91</v>
      </c>
      <c r="C39" s="202" t="s">
        <v>92</v>
      </c>
      <c r="D39" s="202" t="s">
        <v>93</v>
      </c>
      <c r="E39" s="202" t="s">
        <v>94</v>
      </c>
      <c r="F39" s="217"/>
    </row>
    <row r="40" spans="2:6" ht="27.75" customHeight="1" x14ac:dyDescent="0.35">
      <c r="B40" s="74" t="s">
        <v>95</v>
      </c>
      <c r="C40" s="218">
        <f>C34*0.1</f>
        <v>2000</v>
      </c>
      <c r="D40" s="218">
        <f>D34*0.1</f>
        <v>750</v>
      </c>
      <c r="E40" s="218">
        <f>E34*0.1</f>
        <v>2000</v>
      </c>
      <c r="F40" s="217"/>
    </row>
    <row r="41" spans="2:6" ht="27.75" customHeight="1" x14ac:dyDescent="0.35">
      <c r="B41" s="74" t="s">
        <v>96</v>
      </c>
      <c r="C41" s="218">
        <f>C34*0.25</f>
        <v>5000</v>
      </c>
      <c r="D41" s="218">
        <f>D34*0.25</f>
        <v>1875</v>
      </c>
      <c r="E41" s="218">
        <f>E34*0.25</f>
        <v>5000</v>
      </c>
      <c r="F41" s="217"/>
    </row>
    <row r="42" spans="2:6" ht="27.75" customHeight="1" x14ac:dyDescent="0.35">
      <c r="B42" s="74" t="s">
        <v>97</v>
      </c>
      <c r="C42" s="202" t="s">
        <v>98</v>
      </c>
      <c r="D42" s="202" t="s">
        <v>99</v>
      </c>
      <c r="E42" s="202" t="s">
        <v>100</v>
      </c>
      <c r="F42" s="217"/>
    </row>
    <row r="43" spans="2:6" ht="27.75" customHeight="1" x14ac:dyDescent="0.35">
      <c r="B43" s="74" t="s">
        <v>101</v>
      </c>
      <c r="C43" s="202" t="s">
        <v>102</v>
      </c>
      <c r="D43" s="202" t="s">
        <v>102</v>
      </c>
      <c r="E43" s="202" t="s">
        <v>103</v>
      </c>
      <c r="F43" s="217"/>
    </row>
    <row r="44" spans="2:6" ht="27.75" customHeight="1" x14ac:dyDescent="0.35">
      <c r="B44" s="74" t="s">
        <v>104</v>
      </c>
      <c r="C44" s="202" t="s">
        <v>105</v>
      </c>
      <c r="D44" s="202" t="s">
        <v>106</v>
      </c>
      <c r="E44" s="202" t="s">
        <v>107</v>
      </c>
      <c r="F44" s="217"/>
    </row>
    <row r="46" spans="2:6" ht="15" customHeight="1" x14ac:dyDescent="0.35">
      <c r="B46" s="249" t="s">
        <v>108</v>
      </c>
      <c r="C46" s="246"/>
      <c r="D46" s="246"/>
      <c r="E46" s="246"/>
      <c r="F46" s="246"/>
    </row>
    <row r="47" spans="2:6" ht="15" customHeight="1" x14ac:dyDescent="0.35">
      <c r="B47" s="249" t="s">
        <v>109</v>
      </c>
      <c r="C47" s="246"/>
      <c r="D47" s="246"/>
      <c r="E47" s="246"/>
      <c r="F47" s="246"/>
    </row>
    <row r="48" spans="2:6" ht="15" customHeight="1" x14ac:dyDescent="0.35">
      <c r="B48" s="249" t="s">
        <v>110</v>
      </c>
      <c r="C48" s="246"/>
      <c r="D48" s="246"/>
      <c r="E48" s="246"/>
      <c r="F48" s="246"/>
    </row>
  </sheetData>
  <mergeCells count="11">
    <mergeCell ref="B48:F48"/>
    <mergeCell ref="B32:G32"/>
    <mergeCell ref="B46:F46"/>
    <mergeCell ref="B13:G13"/>
    <mergeCell ref="B7:G7"/>
    <mergeCell ref="B25:G25"/>
    <mergeCell ref="B3:G3"/>
    <mergeCell ref="B2:G2"/>
    <mergeCell ref="B19:G19"/>
    <mergeCell ref="B47:F47"/>
    <mergeCell ref="B5:G5"/>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0"/>
  <sheetViews>
    <sheetView workbookViewId="0">
      <selection sqref="A1:G1"/>
    </sheetView>
  </sheetViews>
  <sheetFormatPr defaultRowHeight="14.5" x14ac:dyDescent="0.35"/>
  <cols>
    <col min="1" max="1" width="3" customWidth="1"/>
    <col min="2" max="2" width="32" customWidth="1"/>
    <col min="3" max="3" width="75.90625" customWidth="1"/>
    <col min="4" max="4" width="18" customWidth="1"/>
    <col min="5" max="5" width="12" customWidth="1"/>
    <col min="6" max="6" width="20" customWidth="1"/>
    <col min="7" max="7" width="18" customWidth="1"/>
  </cols>
  <sheetData>
    <row r="1" spans="1:7" ht="36" customHeight="1" x14ac:dyDescent="0.35">
      <c r="A1" s="288" t="s">
        <v>515</v>
      </c>
      <c r="B1" s="246"/>
      <c r="C1" s="246"/>
      <c r="D1" s="246"/>
      <c r="E1" s="246"/>
      <c r="F1" s="246"/>
      <c r="G1" s="246"/>
    </row>
    <row r="2" spans="1:7" ht="44" customHeight="1" x14ac:dyDescent="0.35">
      <c r="A2" s="293" t="s">
        <v>516</v>
      </c>
      <c r="B2" s="246"/>
      <c r="C2" s="246"/>
      <c r="D2" s="246"/>
      <c r="E2" s="246"/>
      <c r="F2" s="246"/>
      <c r="G2" s="246"/>
    </row>
    <row r="3" spans="1:7" ht="30" customHeight="1" x14ac:dyDescent="0.35">
      <c r="A3" s="219" t="s">
        <v>517</v>
      </c>
      <c r="B3" s="219" t="s">
        <v>518</v>
      </c>
      <c r="C3" s="219" t="s">
        <v>519</v>
      </c>
      <c r="D3" s="219" t="s">
        <v>520</v>
      </c>
      <c r="E3" s="219" t="s">
        <v>521</v>
      </c>
      <c r="F3" s="219" t="s">
        <v>522</v>
      </c>
      <c r="G3" s="219" t="s">
        <v>523</v>
      </c>
    </row>
    <row r="4" spans="1:7" ht="18" customHeight="1" x14ac:dyDescent="0.35">
      <c r="A4" s="292" t="s">
        <v>524</v>
      </c>
      <c r="B4" s="246"/>
      <c r="C4" s="246"/>
      <c r="D4" s="246"/>
      <c r="E4" s="246"/>
      <c r="F4" s="246"/>
      <c r="G4" s="246"/>
    </row>
    <row r="5" spans="1:7" ht="20" customHeight="1" x14ac:dyDescent="0.35">
      <c r="A5" s="220"/>
      <c r="B5" s="289" t="s">
        <v>525</v>
      </c>
      <c r="C5" s="246"/>
      <c r="D5" s="246"/>
      <c r="E5" s="246"/>
      <c r="F5" s="246"/>
      <c r="G5" s="246"/>
    </row>
    <row r="6" spans="1:7" ht="38" customHeight="1" x14ac:dyDescent="0.35">
      <c r="A6" s="221" t="s">
        <v>526</v>
      </c>
      <c r="B6" s="222" t="s">
        <v>527</v>
      </c>
      <c r="C6" s="223" t="s">
        <v>528</v>
      </c>
      <c r="D6" s="224" t="s">
        <v>529</v>
      </c>
      <c r="E6" s="225" t="s">
        <v>530</v>
      </c>
      <c r="F6" s="226"/>
      <c r="G6" s="227" t="s">
        <v>531</v>
      </c>
    </row>
    <row r="7" spans="1:7" ht="38" customHeight="1" x14ac:dyDescent="0.35">
      <c r="A7" s="228" t="s">
        <v>526</v>
      </c>
      <c r="B7" s="229" t="s">
        <v>532</v>
      </c>
      <c r="C7" s="230" t="s">
        <v>533</v>
      </c>
      <c r="D7" s="231" t="s">
        <v>529</v>
      </c>
      <c r="E7" s="225" t="s">
        <v>530</v>
      </c>
      <c r="F7" s="226"/>
      <c r="G7" s="227" t="s">
        <v>531</v>
      </c>
    </row>
    <row r="8" spans="1:7" ht="38" customHeight="1" x14ac:dyDescent="0.35">
      <c r="A8" s="221" t="s">
        <v>526</v>
      </c>
      <c r="B8" s="222" t="s">
        <v>534</v>
      </c>
      <c r="C8" s="223" t="s">
        <v>535</v>
      </c>
      <c r="D8" s="224" t="s">
        <v>536</v>
      </c>
      <c r="E8" s="225" t="s">
        <v>530</v>
      </c>
      <c r="F8" s="226"/>
      <c r="G8" s="227" t="s">
        <v>531</v>
      </c>
    </row>
    <row r="9" spans="1:7" ht="38" customHeight="1" x14ac:dyDescent="0.35">
      <c r="A9" s="228" t="s">
        <v>526</v>
      </c>
      <c r="B9" s="229" t="s">
        <v>537</v>
      </c>
      <c r="C9" s="230" t="s">
        <v>538</v>
      </c>
      <c r="D9" s="231" t="s">
        <v>539</v>
      </c>
      <c r="E9" s="225" t="s">
        <v>530</v>
      </c>
      <c r="F9" s="226"/>
      <c r="G9" s="227" t="s">
        <v>531</v>
      </c>
    </row>
    <row r="10" spans="1:7" ht="38" customHeight="1" x14ac:dyDescent="0.35">
      <c r="A10" s="221" t="s">
        <v>526</v>
      </c>
      <c r="B10" s="222" t="s">
        <v>540</v>
      </c>
      <c r="C10" s="223" t="s">
        <v>541</v>
      </c>
      <c r="D10" s="224" t="s">
        <v>542</v>
      </c>
      <c r="E10" s="225" t="s">
        <v>530</v>
      </c>
      <c r="F10" s="226"/>
      <c r="G10" s="227" t="s">
        <v>531</v>
      </c>
    </row>
    <row r="11" spans="1:7" ht="38" customHeight="1" x14ac:dyDescent="0.35">
      <c r="A11" s="228" t="s">
        <v>526</v>
      </c>
      <c r="B11" s="229" t="s">
        <v>543</v>
      </c>
      <c r="C11" s="230" t="s">
        <v>544</v>
      </c>
      <c r="D11" s="231" t="s">
        <v>539</v>
      </c>
      <c r="E11" s="225" t="s">
        <v>530</v>
      </c>
      <c r="F11" s="226"/>
      <c r="G11" s="227" t="s">
        <v>531</v>
      </c>
    </row>
    <row r="12" spans="1:7" ht="38" customHeight="1" x14ac:dyDescent="0.35">
      <c r="A12" s="221" t="s">
        <v>526</v>
      </c>
      <c r="B12" s="222" t="s">
        <v>545</v>
      </c>
      <c r="C12" s="223" t="s">
        <v>546</v>
      </c>
      <c r="D12" s="224" t="s">
        <v>547</v>
      </c>
      <c r="E12" s="225" t="s">
        <v>530</v>
      </c>
      <c r="F12" s="226"/>
      <c r="G12" s="227" t="s">
        <v>531</v>
      </c>
    </row>
    <row r="13" spans="1:7" ht="38" customHeight="1" x14ac:dyDescent="0.35">
      <c r="A13" s="228" t="s">
        <v>526</v>
      </c>
      <c r="B13" s="229" t="s">
        <v>548</v>
      </c>
      <c r="C13" s="230" t="s">
        <v>549</v>
      </c>
      <c r="D13" s="231" t="s">
        <v>479</v>
      </c>
      <c r="E13" s="225" t="s">
        <v>530</v>
      </c>
      <c r="F13" s="226"/>
      <c r="G13" s="227" t="s">
        <v>531</v>
      </c>
    </row>
    <row r="14" spans="1:7" ht="38" customHeight="1" x14ac:dyDescent="0.35">
      <c r="A14" s="221" t="s">
        <v>526</v>
      </c>
      <c r="B14" s="222" t="s">
        <v>550</v>
      </c>
      <c r="C14" s="223" t="s">
        <v>551</v>
      </c>
      <c r="D14" s="224" t="s">
        <v>552</v>
      </c>
      <c r="E14" s="225" t="s">
        <v>530</v>
      </c>
      <c r="F14" s="226"/>
      <c r="G14" s="227" t="s">
        <v>531</v>
      </c>
    </row>
    <row r="15" spans="1:7" ht="38" customHeight="1" x14ac:dyDescent="0.35">
      <c r="A15" s="228" t="s">
        <v>526</v>
      </c>
      <c r="B15" s="229" t="s">
        <v>553</v>
      </c>
      <c r="C15" s="230" t="s">
        <v>554</v>
      </c>
      <c r="D15" s="231" t="s">
        <v>529</v>
      </c>
      <c r="E15" s="225" t="s">
        <v>530</v>
      </c>
      <c r="F15" s="226"/>
      <c r="G15" s="227" t="s">
        <v>531</v>
      </c>
    </row>
    <row r="17" spans="1:7" ht="18" customHeight="1" x14ac:dyDescent="0.35">
      <c r="A17" s="290" t="s">
        <v>555</v>
      </c>
      <c r="B17" s="246"/>
      <c r="C17" s="246"/>
      <c r="D17" s="246"/>
      <c r="E17" s="246"/>
      <c r="F17" s="246"/>
      <c r="G17" s="246"/>
    </row>
    <row r="18" spans="1:7" ht="20" customHeight="1" x14ac:dyDescent="0.35">
      <c r="A18" s="220"/>
      <c r="B18" s="289" t="s">
        <v>556</v>
      </c>
      <c r="C18" s="246"/>
      <c r="D18" s="246"/>
      <c r="E18" s="246"/>
      <c r="F18" s="246"/>
      <c r="G18" s="246"/>
    </row>
    <row r="19" spans="1:7" ht="38" customHeight="1" x14ac:dyDescent="0.35">
      <c r="A19" s="228" t="s">
        <v>526</v>
      </c>
      <c r="B19" s="229" t="s">
        <v>557</v>
      </c>
      <c r="C19" s="230" t="s">
        <v>558</v>
      </c>
      <c r="D19" s="231" t="s">
        <v>536</v>
      </c>
      <c r="E19" s="232" t="s">
        <v>559</v>
      </c>
      <c r="F19" s="226"/>
      <c r="G19" s="227" t="s">
        <v>531</v>
      </c>
    </row>
    <row r="20" spans="1:7" ht="38" customHeight="1" x14ac:dyDescent="0.35">
      <c r="A20" s="221" t="s">
        <v>526</v>
      </c>
      <c r="B20" s="222" t="s">
        <v>560</v>
      </c>
      <c r="C20" s="223" t="s">
        <v>561</v>
      </c>
      <c r="D20" s="224" t="s">
        <v>539</v>
      </c>
      <c r="E20" s="232" t="s">
        <v>559</v>
      </c>
      <c r="F20" s="226"/>
      <c r="G20" s="227" t="s">
        <v>531</v>
      </c>
    </row>
    <row r="21" spans="1:7" ht="38" customHeight="1" x14ac:dyDescent="0.35">
      <c r="A21" s="228" t="s">
        <v>526</v>
      </c>
      <c r="B21" s="229" t="s">
        <v>562</v>
      </c>
      <c r="C21" s="230" t="s">
        <v>563</v>
      </c>
      <c r="D21" s="231" t="s">
        <v>539</v>
      </c>
      <c r="E21" s="232" t="s">
        <v>559</v>
      </c>
      <c r="F21" s="226"/>
      <c r="G21" s="227" t="s">
        <v>531</v>
      </c>
    </row>
    <row r="22" spans="1:7" ht="38" customHeight="1" x14ac:dyDescent="0.35">
      <c r="A22" s="221" t="s">
        <v>526</v>
      </c>
      <c r="B22" s="222" t="s">
        <v>564</v>
      </c>
      <c r="C22" s="223" t="s">
        <v>565</v>
      </c>
      <c r="D22" s="224" t="s">
        <v>566</v>
      </c>
      <c r="E22" s="232" t="s">
        <v>559</v>
      </c>
      <c r="F22" s="226"/>
      <c r="G22" s="227" t="s">
        <v>531</v>
      </c>
    </row>
    <row r="23" spans="1:7" ht="38" customHeight="1" x14ac:dyDescent="0.35">
      <c r="A23" s="228" t="s">
        <v>526</v>
      </c>
      <c r="B23" s="229" t="s">
        <v>567</v>
      </c>
      <c r="C23" s="230" t="s">
        <v>568</v>
      </c>
      <c r="D23" s="231" t="s">
        <v>569</v>
      </c>
      <c r="E23" s="232" t="s">
        <v>559</v>
      </c>
      <c r="F23" s="226"/>
      <c r="G23" s="227" t="s">
        <v>531</v>
      </c>
    </row>
    <row r="24" spans="1:7" ht="38" customHeight="1" x14ac:dyDescent="0.35">
      <c r="A24" s="221" t="s">
        <v>526</v>
      </c>
      <c r="B24" s="222" t="s">
        <v>570</v>
      </c>
      <c r="C24" s="223" t="s">
        <v>571</v>
      </c>
      <c r="D24" s="224" t="s">
        <v>479</v>
      </c>
      <c r="E24" s="232" t="s">
        <v>559</v>
      </c>
      <c r="F24" s="226"/>
      <c r="G24" s="227" t="s">
        <v>531</v>
      </c>
    </row>
    <row r="25" spans="1:7" ht="38" customHeight="1" x14ac:dyDescent="0.35">
      <c r="A25" s="228" t="s">
        <v>526</v>
      </c>
      <c r="B25" s="229" t="s">
        <v>572</v>
      </c>
      <c r="C25" s="230" t="s">
        <v>573</v>
      </c>
      <c r="D25" s="231" t="s">
        <v>539</v>
      </c>
      <c r="E25" s="232" t="s">
        <v>559</v>
      </c>
      <c r="F25" s="226"/>
      <c r="G25" s="227" t="s">
        <v>531</v>
      </c>
    </row>
    <row r="26" spans="1:7" ht="38" customHeight="1" x14ac:dyDescent="0.35">
      <c r="A26" s="221" t="s">
        <v>526</v>
      </c>
      <c r="B26" s="222" t="s">
        <v>574</v>
      </c>
      <c r="C26" s="223" t="s">
        <v>575</v>
      </c>
      <c r="D26" s="224" t="s">
        <v>576</v>
      </c>
      <c r="E26" s="232" t="s">
        <v>559</v>
      </c>
      <c r="F26" s="226"/>
      <c r="G26" s="227" t="s">
        <v>531</v>
      </c>
    </row>
    <row r="27" spans="1:7" ht="38" customHeight="1" x14ac:dyDescent="0.35">
      <c r="A27" s="228" t="s">
        <v>526</v>
      </c>
      <c r="B27" s="229" t="s">
        <v>577</v>
      </c>
      <c r="C27" s="230" t="s">
        <v>578</v>
      </c>
      <c r="D27" s="231" t="s">
        <v>579</v>
      </c>
      <c r="E27" s="232" t="s">
        <v>559</v>
      </c>
      <c r="F27" s="226"/>
      <c r="G27" s="227" t="s">
        <v>531</v>
      </c>
    </row>
    <row r="28" spans="1:7" ht="38" customHeight="1" x14ac:dyDescent="0.35">
      <c r="A28" s="221" t="s">
        <v>526</v>
      </c>
      <c r="B28" s="222" t="s">
        <v>580</v>
      </c>
      <c r="C28" s="223" t="s">
        <v>581</v>
      </c>
      <c r="D28" s="224" t="s">
        <v>479</v>
      </c>
      <c r="E28" s="232" t="s">
        <v>559</v>
      </c>
      <c r="F28" s="226"/>
      <c r="G28" s="227" t="s">
        <v>531</v>
      </c>
    </row>
    <row r="30" spans="1:7" ht="18" customHeight="1" x14ac:dyDescent="0.35">
      <c r="A30" s="290" t="s">
        <v>582</v>
      </c>
      <c r="B30" s="246"/>
      <c r="C30" s="246"/>
      <c r="D30" s="246"/>
      <c r="E30" s="246"/>
      <c r="F30" s="246"/>
      <c r="G30" s="246"/>
    </row>
    <row r="31" spans="1:7" ht="20" customHeight="1" x14ac:dyDescent="0.35">
      <c r="A31" s="220"/>
      <c r="B31" s="289" t="s">
        <v>583</v>
      </c>
      <c r="C31" s="246"/>
      <c r="D31" s="246"/>
      <c r="E31" s="246"/>
      <c r="F31" s="246"/>
      <c r="G31" s="246"/>
    </row>
    <row r="32" spans="1:7" ht="38" customHeight="1" x14ac:dyDescent="0.35">
      <c r="A32" s="221" t="s">
        <v>526</v>
      </c>
      <c r="B32" s="222" t="s">
        <v>584</v>
      </c>
      <c r="C32" s="223" t="s">
        <v>585</v>
      </c>
      <c r="D32" s="224" t="s">
        <v>566</v>
      </c>
      <c r="E32" s="233" t="s">
        <v>586</v>
      </c>
      <c r="F32" s="226"/>
      <c r="G32" s="227" t="s">
        <v>531</v>
      </c>
    </row>
    <row r="33" spans="1:7" ht="38" customHeight="1" x14ac:dyDescent="0.35">
      <c r="A33" s="228" t="s">
        <v>526</v>
      </c>
      <c r="B33" s="229" t="s">
        <v>587</v>
      </c>
      <c r="C33" s="230" t="s">
        <v>588</v>
      </c>
      <c r="D33" s="231" t="s">
        <v>579</v>
      </c>
      <c r="E33" s="233" t="s">
        <v>586</v>
      </c>
      <c r="F33" s="226"/>
      <c r="G33" s="227" t="s">
        <v>531</v>
      </c>
    </row>
    <row r="34" spans="1:7" ht="38" customHeight="1" x14ac:dyDescent="0.35">
      <c r="A34" s="221" t="s">
        <v>526</v>
      </c>
      <c r="B34" s="222" t="s">
        <v>589</v>
      </c>
      <c r="C34" s="223" t="s">
        <v>590</v>
      </c>
      <c r="D34" s="224" t="s">
        <v>542</v>
      </c>
      <c r="E34" s="233" t="s">
        <v>586</v>
      </c>
      <c r="F34" s="226"/>
      <c r="G34" s="227" t="s">
        <v>531</v>
      </c>
    </row>
    <row r="35" spans="1:7" ht="38" customHeight="1" x14ac:dyDescent="0.35">
      <c r="A35" s="228" t="s">
        <v>526</v>
      </c>
      <c r="B35" s="229" t="s">
        <v>591</v>
      </c>
      <c r="C35" s="230" t="s">
        <v>592</v>
      </c>
      <c r="D35" s="231" t="s">
        <v>593</v>
      </c>
      <c r="E35" s="233" t="s">
        <v>586</v>
      </c>
      <c r="F35" s="226"/>
      <c r="G35" s="227" t="s">
        <v>531</v>
      </c>
    </row>
    <row r="36" spans="1:7" ht="38" customHeight="1" x14ac:dyDescent="0.35">
      <c r="A36" s="221" t="s">
        <v>526</v>
      </c>
      <c r="B36" s="222" t="s">
        <v>594</v>
      </c>
      <c r="C36" s="223" t="s">
        <v>595</v>
      </c>
      <c r="D36" s="224" t="s">
        <v>552</v>
      </c>
      <c r="E36" s="233" t="s">
        <v>586</v>
      </c>
      <c r="F36" s="226"/>
      <c r="G36" s="227" t="s">
        <v>531</v>
      </c>
    </row>
    <row r="37" spans="1:7" ht="38" customHeight="1" x14ac:dyDescent="0.35">
      <c r="A37" s="228" t="s">
        <v>526</v>
      </c>
      <c r="B37" s="229" t="s">
        <v>596</v>
      </c>
      <c r="C37" s="230" t="s">
        <v>597</v>
      </c>
      <c r="D37" s="231" t="s">
        <v>598</v>
      </c>
      <c r="E37" s="233" t="s">
        <v>586</v>
      </c>
      <c r="F37" s="226"/>
      <c r="G37" s="227" t="s">
        <v>531</v>
      </c>
    </row>
    <row r="38" spans="1:7" ht="38" customHeight="1" x14ac:dyDescent="0.35">
      <c r="A38" s="221" t="s">
        <v>526</v>
      </c>
      <c r="B38" s="222" t="s">
        <v>599</v>
      </c>
      <c r="C38" s="223" t="s">
        <v>600</v>
      </c>
      <c r="D38" s="224" t="s">
        <v>483</v>
      </c>
      <c r="E38" s="233" t="s">
        <v>586</v>
      </c>
      <c r="F38" s="226"/>
      <c r="G38" s="227" t="s">
        <v>531</v>
      </c>
    </row>
    <row r="39" spans="1:7" ht="38" customHeight="1" x14ac:dyDescent="0.35">
      <c r="A39" s="228" t="s">
        <v>526</v>
      </c>
      <c r="B39" s="229" t="s">
        <v>601</v>
      </c>
      <c r="C39" s="230" t="s">
        <v>602</v>
      </c>
      <c r="D39" s="231" t="s">
        <v>479</v>
      </c>
      <c r="E39" s="233" t="s">
        <v>586</v>
      </c>
      <c r="F39" s="226"/>
      <c r="G39" s="227" t="s">
        <v>531</v>
      </c>
    </row>
    <row r="41" spans="1:7" ht="18" customHeight="1" x14ac:dyDescent="0.35">
      <c r="A41" s="290" t="s">
        <v>603</v>
      </c>
      <c r="B41" s="246"/>
      <c r="C41" s="246"/>
      <c r="D41" s="246"/>
      <c r="E41" s="246"/>
      <c r="F41" s="246"/>
      <c r="G41" s="246"/>
    </row>
    <row r="42" spans="1:7" ht="20" customHeight="1" x14ac:dyDescent="0.35">
      <c r="A42" s="220"/>
      <c r="B42" s="289" t="s">
        <v>604</v>
      </c>
      <c r="C42" s="246"/>
      <c r="D42" s="246"/>
      <c r="E42" s="246"/>
      <c r="F42" s="246"/>
      <c r="G42" s="246"/>
    </row>
    <row r="43" spans="1:7" ht="38" customHeight="1" x14ac:dyDescent="0.35">
      <c r="A43" s="228" t="s">
        <v>526</v>
      </c>
      <c r="B43" s="229" t="s">
        <v>605</v>
      </c>
      <c r="C43" s="230" t="s">
        <v>606</v>
      </c>
      <c r="D43" s="231" t="s">
        <v>598</v>
      </c>
      <c r="E43" s="234" t="s">
        <v>607</v>
      </c>
      <c r="F43" s="226"/>
      <c r="G43" s="227" t="s">
        <v>531</v>
      </c>
    </row>
    <row r="44" spans="1:7" ht="38" customHeight="1" x14ac:dyDescent="0.35">
      <c r="A44" s="221" t="s">
        <v>526</v>
      </c>
      <c r="B44" s="222" t="s">
        <v>608</v>
      </c>
      <c r="C44" s="223" t="s">
        <v>609</v>
      </c>
      <c r="D44" s="224" t="s">
        <v>483</v>
      </c>
      <c r="E44" s="234" t="s">
        <v>607</v>
      </c>
      <c r="F44" s="226"/>
      <c r="G44" s="227" t="s">
        <v>531</v>
      </c>
    </row>
    <row r="45" spans="1:7" ht="38" customHeight="1" x14ac:dyDescent="0.35">
      <c r="A45" s="228" t="s">
        <v>526</v>
      </c>
      <c r="B45" s="229" t="s">
        <v>610</v>
      </c>
      <c r="C45" s="230" t="s">
        <v>611</v>
      </c>
      <c r="D45" s="231" t="s">
        <v>576</v>
      </c>
      <c r="E45" s="234" t="s">
        <v>607</v>
      </c>
      <c r="F45" s="226"/>
      <c r="G45" s="227" t="s">
        <v>531</v>
      </c>
    </row>
    <row r="46" spans="1:7" ht="38" customHeight="1" x14ac:dyDescent="0.35">
      <c r="A46" s="221" t="s">
        <v>526</v>
      </c>
      <c r="B46" s="222" t="s">
        <v>612</v>
      </c>
      <c r="C46" s="223" t="s">
        <v>613</v>
      </c>
      <c r="D46" s="224" t="s">
        <v>614</v>
      </c>
      <c r="E46" s="234" t="s">
        <v>607</v>
      </c>
      <c r="F46" s="226"/>
      <c r="G46" s="227" t="s">
        <v>531</v>
      </c>
    </row>
    <row r="47" spans="1:7" ht="38" customHeight="1" x14ac:dyDescent="0.35">
      <c r="A47" s="228" t="s">
        <v>526</v>
      </c>
      <c r="B47" s="229" t="s">
        <v>615</v>
      </c>
      <c r="C47" s="230" t="s">
        <v>616</v>
      </c>
      <c r="D47" s="231" t="s">
        <v>617</v>
      </c>
      <c r="E47" s="234" t="s">
        <v>607</v>
      </c>
      <c r="F47" s="226"/>
      <c r="G47" s="227" t="s">
        <v>531</v>
      </c>
    </row>
    <row r="48" spans="1:7" ht="38" customHeight="1" x14ac:dyDescent="0.35">
      <c r="A48" s="221" t="s">
        <v>526</v>
      </c>
      <c r="B48" s="222" t="s">
        <v>618</v>
      </c>
      <c r="C48" s="223" t="s">
        <v>619</v>
      </c>
      <c r="D48" s="224" t="s">
        <v>539</v>
      </c>
      <c r="E48" s="234" t="s">
        <v>607</v>
      </c>
      <c r="F48" s="226"/>
      <c r="G48" s="227" t="s">
        <v>531</v>
      </c>
    </row>
    <row r="49" spans="1:7" ht="38" customHeight="1" x14ac:dyDescent="0.35">
      <c r="A49" s="228" t="s">
        <v>526</v>
      </c>
      <c r="B49" s="229" t="s">
        <v>620</v>
      </c>
      <c r="C49" s="230" t="s">
        <v>621</v>
      </c>
      <c r="D49" s="231" t="s">
        <v>479</v>
      </c>
      <c r="E49" s="234" t="s">
        <v>607</v>
      </c>
      <c r="F49" s="226"/>
      <c r="G49" s="227" t="s">
        <v>531</v>
      </c>
    </row>
    <row r="51" spans="1:7" ht="18" customHeight="1" x14ac:dyDescent="0.35">
      <c r="A51" s="287" t="s">
        <v>622</v>
      </c>
      <c r="B51" s="246"/>
      <c r="C51" s="246"/>
      <c r="D51" s="246"/>
      <c r="E51" s="246"/>
      <c r="F51" s="246"/>
      <c r="G51" s="246"/>
    </row>
    <row r="52" spans="1:7" ht="20" customHeight="1" x14ac:dyDescent="0.35">
      <c r="A52" s="220"/>
      <c r="B52" s="289" t="s">
        <v>623</v>
      </c>
      <c r="C52" s="246"/>
      <c r="D52" s="246"/>
      <c r="E52" s="246"/>
      <c r="F52" s="246"/>
      <c r="G52" s="246"/>
    </row>
    <row r="53" spans="1:7" ht="38" customHeight="1" x14ac:dyDescent="0.35">
      <c r="A53" s="228" t="s">
        <v>526</v>
      </c>
      <c r="B53" s="229" t="s">
        <v>624</v>
      </c>
      <c r="C53" s="230" t="s">
        <v>625</v>
      </c>
      <c r="D53" s="231" t="s">
        <v>614</v>
      </c>
      <c r="E53" s="235" t="s">
        <v>626</v>
      </c>
      <c r="F53" s="226"/>
      <c r="G53" s="227" t="s">
        <v>531</v>
      </c>
    </row>
    <row r="54" spans="1:7" ht="38" customHeight="1" x14ac:dyDescent="0.35">
      <c r="A54" s="221" t="s">
        <v>526</v>
      </c>
      <c r="B54" s="222" t="s">
        <v>627</v>
      </c>
      <c r="C54" s="223" t="s">
        <v>628</v>
      </c>
      <c r="D54" s="224" t="s">
        <v>552</v>
      </c>
      <c r="E54" s="235" t="s">
        <v>626</v>
      </c>
      <c r="F54" s="226"/>
      <c r="G54" s="227" t="s">
        <v>531</v>
      </c>
    </row>
    <row r="55" spans="1:7" ht="38" customHeight="1" x14ac:dyDescent="0.35">
      <c r="A55" s="228" t="s">
        <v>526</v>
      </c>
      <c r="B55" s="229" t="s">
        <v>629</v>
      </c>
      <c r="C55" s="230" t="s">
        <v>630</v>
      </c>
      <c r="D55" s="231" t="s">
        <v>552</v>
      </c>
      <c r="E55" s="235" t="s">
        <v>626</v>
      </c>
      <c r="F55" s="226"/>
      <c r="G55" s="227" t="s">
        <v>531</v>
      </c>
    </row>
    <row r="56" spans="1:7" ht="38" customHeight="1" x14ac:dyDescent="0.35">
      <c r="A56" s="221" t="s">
        <v>526</v>
      </c>
      <c r="B56" s="222" t="s">
        <v>631</v>
      </c>
      <c r="C56" s="223" t="s">
        <v>632</v>
      </c>
      <c r="D56" s="224" t="s">
        <v>593</v>
      </c>
      <c r="E56" s="235" t="s">
        <v>626</v>
      </c>
      <c r="F56" s="226"/>
      <c r="G56" s="227" t="s">
        <v>531</v>
      </c>
    </row>
    <row r="57" spans="1:7" ht="38" customHeight="1" x14ac:dyDescent="0.35">
      <c r="A57" s="228" t="s">
        <v>526</v>
      </c>
      <c r="B57" s="229" t="s">
        <v>633</v>
      </c>
      <c r="C57" s="230" t="s">
        <v>634</v>
      </c>
      <c r="D57" s="231" t="s">
        <v>529</v>
      </c>
      <c r="E57" s="235" t="s">
        <v>626</v>
      </c>
      <c r="F57" s="226"/>
      <c r="G57" s="227" t="s">
        <v>531</v>
      </c>
    </row>
    <row r="58" spans="1:7" ht="38" customHeight="1" x14ac:dyDescent="0.35">
      <c r="A58" s="221" t="s">
        <v>526</v>
      </c>
      <c r="B58" s="222" t="s">
        <v>635</v>
      </c>
      <c r="C58" s="223" t="s">
        <v>636</v>
      </c>
      <c r="D58" s="224" t="s">
        <v>529</v>
      </c>
      <c r="E58" s="235" t="s">
        <v>626</v>
      </c>
      <c r="F58" s="226"/>
      <c r="G58" s="227" t="s">
        <v>531</v>
      </c>
    </row>
    <row r="59" spans="1:7" ht="38" customHeight="1" x14ac:dyDescent="0.35">
      <c r="A59" s="228" t="s">
        <v>526</v>
      </c>
      <c r="B59" s="229" t="s">
        <v>637</v>
      </c>
      <c r="C59" s="230" t="s">
        <v>638</v>
      </c>
      <c r="D59" s="231" t="s">
        <v>479</v>
      </c>
      <c r="E59" s="235" t="s">
        <v>626</v>
      </c>
      <c r="F59" s="226"/>
      <c r="G59" s="227" t="s">
        <v>531</v>
      </c>
    </row>
    <row r="61" spans="1:7" ht="18" customHeight="1" x14ac:dyDescent="0.35">
      <c r="A61" s="287" t="s">
        <v>639</v>
      </c>
      <c r="B61" s="246"/>
      <c r="C61" s="246"/>
      <c r="D61" s="246"/>
      <c r="E61" s="246"/>
      <c r="F61" s="246"/>
      <c r="G61" s="246"/>
    </row>
    <row r="62" spans="1:7" ht="20" customHeight="1" x14ac:dyDescent="0.35">
      <c r="A62" s="220"/>
      <c r="B62" s="289" t="s">
        <v>640</v>
      </c>
      <c r="C62" s="246"/>
      <c r="D62" s="246"/>
      <c r="E62" s="246"/>
      <c r="F62" s="246"/>
      <c r="G62" s="246"/>
    </row>
    <row r="63" spans="1:7" ht="38" customHeight="1" x14ac:dyDescent="0.35">
      <c r="A63" s="228" t="s">
        <v>526</v>
      </c>
      <c r="B63" s="229" t="s">
        <v>641</v>
      </c>
      <c r="C63" s="230" t="s">
        <v>642</v>
      </c>
      <c r="D63" s="231" t="s">
        <v>614</v>
      </c>
      <c r="E63" s="236" t="s">
        <v>643</v>
      </c>
      <c r="F63" s="226"/>
      <c r="G63" s="227" t="s">
        <v>531</v>
      </c>
    </row>
    <row r="64" spans="1:7" ht="38" customHeight="1" x14ac:dyDescent="0.35">
      <c r="A64" s="221" t="s">
        <v>526</v>
      </c>
      <c r="B64" s="222" t="s">
        <v>644</v>
      </c>
      <c r="C64" s="223" t="s">
        <v>645</v>
      </c>
      <c r="D64" s="224" t="s">
        <v>552</v>
      </c>
      <c r="E64" s="236" t="s">
        <v>643</v>
      </c>
      <c r="F64" s="226"/>
      <c r="G64" s="227" t="s">
        <v>531</v>
      </c>
    </row>
    <row r="65" spans="1:7" ht="38" customHeight="1" x14ac:dyDescent="0.35">
      <c r="A65" s="228" t="s">
        <v>526</v>
      </c>
      <c r="B65" s="229" t="s">
        <v>646</v>
      </c>
      <c r="C65" s="230" t="s">
        <v>647</v>
      </c>
      <c r="D65" s="231" t="s">
        <v>529</v>
      </c>
      <c r="E65" s="236" t="s">
        <v>643</v>
      </c>
      <c r="F65" s="226"/>
      <c r="G65" s="227" t="s">
        <v>531</v>
      </c>
    </row>
    <row r="66" spans="1:7" ht="38" customHeight="1" x14ac:dyDescent="0.35">
      <c r="A66" s="221" t="s">
        <v>526</v>
      </c>
      <c r="B66" s="222" t="s">
        <v>648</v>
      </c>
      <c r="C66" s="223" t="s">
        <v>649</v>
      </c>
      <c r="D66" s="224" t="s">
        <v>547</v>
      </c>
      <c r="E66" s="236" t="s">
        <v>643</v>
      </c>
      <c r="F66" s="226"/>
      <c r="G66" s="227" t="s">
        <v>531</v>
      </c>
    </row>
    <row r="67" spans="1:7" ht="38" customHeight="1" x14ac:dyDescent="0.35">
      <c r="A67" s="228" t="s">
        <v>526</v>
      </c>
      <c r="B67" s="229" t="s">
        <v>650</v>
      </c>
      <c r="C67" s="230" t="s">
        <v>651</v>
      </c>
      <c r="D67" s="231" t="s">
        <v>652</v>
      </c>
      <c r="E67" s="236" t="s">
        <v>643</v>
      </c>
      <c r="F67" s="226"/>
      <c r="G67" s="227" t="s">
        <v>531</v>
      </c>
    </row>
    <row r="68" spans="1:7" ht="38" customHeight="1" x14ac:dyDescent="0.35">
      <c r="A68" s="221" t="s">
        <v>526</v>
      </c>
      <c r="B68" s="222" t="s">
        <v>653</v>
      </c>
      <c r="C68" s="223" t="s">
        <v>654</v>
      </c>
      <c r="D68" s="224" t="s">
        <v>655</v>
      </c>
      <c r="E68" s="236" t="s">
        <v>643</v>
      </c>
      <c r="F68" s="226"/>
      <c r="G68" s="227" t="s">
        <v>531</v>
      </c>
    </row>
    <row r="69" spans="1:7" ht="38" customHeight="1" x14ac:dyDescent="0.35">
      <c r="A69" s="228" t="s">
        <v>526</v>
      </c>
      <c r="B69" s="229" t="s">
        <v>656</v>
      </c>
      <c r="C69" s="230" t="s">
        <v>657</v>
      </c>
      <c r="D69" s="231" t="s">
        <v>479</v>
      </c>
      <c r="E69" s="236" t="s">
        <v>643</v>
      </c>
      <c r="F69" s="226"/>
      <c r="G69" s="227" t="s">
        <v>531</v>
      </c>
    </row>
    <row r="70" spans="1:7" ht="38" customHeight="1" x14ac:dyDescent="0.35">
      <c r="A70" s="221" t="s">
        <v>526</v>
      </c>
      <c r="B70" s="222" t="s">
        <v>658</v>
      </c>
      <c r="C70" s="223" t="s">
        <v>659</v>
      </c>
      <c r="D70" s="224" t="s">
        <v>652</v>
      </c>
      <c r="E70" s="236" t="s">
        <v>643</v>
      </c>
      <c r="F70" s="226"/>
      <c r="G70" s="227" t="s">
        <v>531</v>
      </c>
    </row>
    <row r="72" spans="1:7" ht="18" customHeight="1" x14ac:dyDescent="0.35">
      <c r="A72" s="294" t="s">
        <v>660</v>
      </c>
      <c r="B72" s="246"/>
      <c r="C72" s="246"/>
      <c r="D72" s="246"/>
      <c r="E72" s="246"/>
      <c r="F72" s="246"/>
      <c r="G72" s="246"/>
    </row>
    <row r="73" spans="1:7" ht="20" customHeight="1" x14ac:dyDescent="0.35">
      <c r="A73" s="220"/>
      <c r="B73" s="289" t="s">
        <v>661</v>
      </c>
      <c r="C73" s="246"/>
      <c r="D73" s="246"/>
      <c r="E73" s="246"/>
      <c r="F73" s="246"/>
      <c r="G73" s="246"/>
    </row>
    <row r="74" spans="1:7" ht="38" customHeight="1" x14ac:dyDescent="0.35">
      <c r="A74" s="221" t="s">
        <v>526</v>
      </c>
      <c r="B74" s="222" t="s">
        <v>662</v>
      </c>
      <c r="C74" s="223" t="s">
        <v>663</v>
      </c>
      <c r="D74" s="224" t="s">
        <v>598</v>
      </c>
      <c r="E74" s="237" t="s">
        <v>664</v>
      </c>
      <c r="F74" s="226"/>
      <c r="G74" s="238" t="s">
        <v>665</v>
      </c>
    </row>
    <row r="75" spans="1:7" ht="38" customHeight="1" x14ac:dyDescent="0.35">
      <c r="A75" s="228" t="s">
        <v>526</v>
      </c>
      <c r="B75" s="229" t="s">
        <v>666</v>
      </c>
      <c r="C75" s="230" t="s">
        <v>667</v>
      </c>
      <c r="D75" s="231" t="s">
        <v>483</v>
      </c>
      <c r="E75" s="237" t="s">
        <v>664</v>
      </c>
      <c r="F75" s="226"/>
      <c r="G75" s="238" t="s">
        <v>665</v>
      </c>
    </row>
    <row r="76" spans="1:7" ht="38" customHeight="1" x14ac:dyDescent="0.35">
      <c r="A76" s="221" t="s">
        <v>526</v>
      </c>
      <c r="B76" s="222" t="s">
        <v>668</v>
      </c>
      <c r="C76" s="223" t="s">
        <v>669</v>
      </c>
      <c r="D76" s="224" t="s">
        <v>539</v>
      </c>
      <c r="E76" s="237" t="s">
        <v>664</v>
      </c>
      <c r="F76" s="226"/>
      <c r="G76" s="238" t="s">
        <v>665</v>
      </c>
    </row>
    <row r="77" spans="1:7" ht="38" customHeight="1" x14ac:dyDescent="0.35">
      <c r="A77" s="228" t="s">
        <v>526</v>
      </c>
      <c r="B77" s="229" t="s">
        <v>670</v>
      </c>
      <c r="C77" s="230" t="s">
        <v>671</v>
      </c>
      <c r="D77" s="231" t="s">
        <v>529</v>
      </c>
      <c r="E77" s="237" t="s">
        <v>664</v>
      </c>
      <c r="F77" s="226"/>
      <c r="G77" s="238" t="s">
        <v>665</v>
      </c>
    </row>
    <row r="78" spans="1:7" ht="38" customHeight="1" x14ac:dyDescent="0.35">
      <c r="A78" s="221" t="s">
        <v>526</v>
      </c>
      <c r="B78" s="222" t="s">
        <v>672</v>
      </c>
      <c r="C78" s="223" t="s">
        <v>673</v>
      </c>
      <c r="D78" s="224" t="s">
        <v>529</v>
      </c>
      <c r="E78" s="237" t="s">
        <v>664</v>
      </c>
      <c r="F78" s="226"/>
      <c r="G78" s="238" t="s">
        <v>665</v>
      </c>
    </row>
    <row r="80" spans="1:7" ht="22" customHeight="1" x14ac:dyDescent="0.35">
      <c r="A80" s="291" t="s">
        <v>674</v>
      </c>
      <c r="B80" s="246"/>
      <c r="C80" s="246"/>
      <c r="D80" s="246"/>
      <c r="E80" s="246"/>
      <c r="F80" s="246"/>
      <c r="G80" s="246"/>
    </row>
  </sheetData>
  <mergeCells count="17">
    <mergeCell ref="A80:G80"/>
    <mergeCell ref="B31:G31"/>
    <mergeCell ref="A4:G4"/>
    <mergeCell ref="A30:G30"/>
    <mergeCell ref="A2:G2"/>
    <mergeCell ref="A72:G72"/>
    <mergeCell ref="B18:G18"/>
    <mergeCell ref="B73:G73"/>
    <mergeCell ref="B52:G52"/>
    <mergeCell ref="A41:G41"/>
    <mergeCell ref="B62:G62"/>
    <mergeCell ref="A51:G51"/>
    <mergeCell ref="A61:G61"/>
    <mergeCell ref="A1:G1"/>
    <mergeCell ref="B42:G42"/>
    <mergeCell ref="A17:G17"/>
    <mergeCell ref="B5:G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7"/>
  <sheetViews>
    <sheetView tabSelected="1" workbookViewId="0">
      <selection sqref="A1:G1"/>
    </sheetView>
  </sheetViews>
  <sheetFormatPr defaultRowHeight="14.5" x14ac:dyDescent="0.35"/>
  <cols>
    <col min="1" max="1" width="3" customWidth="1"/>
    <col min="2" max="2" width="32" customWidth="1"/>
    <col min="3" max="3" width="82.90625" customWidth="1"/>
    <col min="4" max="4" width="18" customWidth="1"/>
    <col min="5" max="5" width="14" customWidth="1"/>
    <col min="6" max="6" width="20" customWidth="1"/>
    <col min="7" max="7" width="18" customWidth="1"/>
  </cols>
  <sheetData>
    <row r="1" spans="1:7" ht="36" customHeight="1" x14ac:dyDescent="0.35">
      <c r="A1" s="288" t="s">
        <v>515</v>
      </c>
      <c r="B1" s="246"/>
      <c r="C1" s="246"/>
      <c r="D1" s="246"/>
      <c r="E1" s="246"/>
      <c r="F1" s="246"/>
      <c r="G1" s="246"/>
    </row>
    <row r="2" spans="1:7" ht="50" customHeight="1" x14ac:dyDescent="0.35">
      <c r="A2" s="293" t="s">
        <v>675</v>
      </c>
      <c r="B2" s="246"/>
      <c r="C2" s="246"/>
      <c r="D2" s="246"/>
      <c r="E2" s="246"/>
      <c r="F2" s="246"/>
      <c r="G2" s="246"/>
    </row>
    <row r="3" spans="1:7" ht="30" customHeight="1" x14ac:dyDescent="0.35">
      <c r="A3" s="219" t="s">
        <v>517</v>
      </c>
      <c r="B3" s="219" t="s">
        <v>518</v>
      </c>
      <c r="C3" s="219" t="s">
        <v>519</v>
      </c>
      <c r="D3" s="219" t="s">
        <v>520</v>
      </c>
      <c r="E3" s="219" t="s">
        <v>676</v>
      </c>
      <c r="F3" s="219" t="s">
        <v>522</v>
      </c>
      <c r="G3" s="219" t="s">
        <v>523</v>
      </c>
    </row>
    <row r="4" spans="1:7" ht="18" customHeight="1" x14ac:dyDescent="0.35">
      <c r="A4" s="292" t="s">
        <v>677</v>
      </c>
      <c r="B4" s="246"/>
      <c r="C4" s="246"/>
      <c r="D4" s="246"/>
      <c r="E4" s="246"/>
      <c r="F4" s="246"/>
      <c r="G4" s="246"/>
    </row>
    <row r="5" spans="1:7" ht="20" customHeight="1" x14ac:dyDescent="0.35">
      <c r="A5" s="220"/>
      <c r="B5" s="289" t="s">
        <v>678</v>
      </c>
      <c r="C5" s="246"/>
      <c r="D5" s="246"/>
      <c r="E5" s="246"/>
      <c r="F5" s="246"/>
      <c r="G5" s="246"/>
    </row>
    <row r="6" spans="1:7" ht="38" customHeight="1" x14ac:dyDescent="0.35">
      <c r="A6" s="221" t="s">
        <v>526</v>
      </c>
      <c r="B6" s="222" t="s">
        <v>679</v>
      </c>
      <c r="C6" s="223" t="s">
        <v>680</v>
      </c>
      <c r="D6" s="224" t="s">
        <v>617</v>
      </c>
      <c r="E6" s="232" t="s">
        <v>681</v>
      </c>
      <c r="F6" s="226"/>
      <c r="G6" s="227" t="s">
        <v>531</v>
      </c>
    </row>
    <row r="7" spans="1:7" ht="38" customHeight="1" x14ac:dyDescent="0.35">
      <c r="A7" s="228" t="s">
        <v>526</v>
      </c>
      <c r="B7" s="229" t="s">
        <v>682</v>
      </c>
      <c r="C7" s="230" t="s">
        <v>683</v>
      </c>
      <c r="D7" s="231" t="s">
        <v>684</v>
      </c>
      <c r="E7" s="232" t="s">
        <v>681</v>
      </c>
      <c r="F7" s="226"/>
      <c r="G7" s="227" t="s">
        <v>531</v>
      </c>
    </row>
    <row r="8" spans="1:7" ht="38" customHeight="1" x14ac:dyDescent="0.35">
      <c r="A8" s="221" t="s">
        <v>526</v>
      </c>
      <c r="B8" s="222" t="s">
        <v>685</v>
      </c>
      <c r="C8" s="223" t="s">
        <v>686</v>
      </c>
      <c r="D8" s="224" t="s">
        <v>614</v>
      </c>
      <c r="E8" s="232" t="s">
        <v>681</v>
      </c>
      <c r="F8" s="226"/>
      <c r="G8" s="227" t="s">
        <v>531</v>
      </c>
    </row>
    <row r="9" spans="1:7" ht="38" customHeight="1" x14ac:dyDescent="0.35">
      <c r="A9" s="228" t="s">
        <v>526</v>
      </c>
      <c r="B9" s="229" t="s">
        <v>687</v>
      </c>
      <c r="C9" s="230" t="s">
        <v>688</v>
      </c>
      <c r="D9" s="231" t="s">
        <v>539</v>
      </c>
      <c r="E9" s="232" t="s">
        <v>681</v>
      </c>
      <c r="F9" s="226"/>
      <c r="G9" s="227" t="s">
        <v>531</v>
      </c>
    </row>
    <row r="10" spans="1:7" ht="38" customHeight="1" x14ac:dyDescent="0.35">
      <c r="A10" s="221" t="s">
        <v>526</v>
      </c>
      <c r="B10" s="222" t="s">
        <v>689</v>
      </c>
      <c r="C10" s="223" t="s">
        <v>690</v>
      </c>
      <c r="D10" s="224" t="s">
        <v>691</v>
      </c>
      <c r="E10" s="232" t="s">
        <v>681</v>
      </c>
      <c r="F10" s="226"/>
      <c r="G10" s="227" t="s">
        <v>531</v>
      </c>
    </row>
    <row r="11" spans="1:7" ht="38" customHeight="1" x14ac:dyDescent="0.35">
      <c r="A11" s="228" t="s">
        <v>526</v>
      </c>
      <c r="B11" s="229" t="s">
        <v>692</v>
      </c>
      <c r="C11" s="230" t="s">
        <v>693</v>
      </c>
      <c r="D11" s="231" t="s">
        <v>694</v>
      </c>
      <c r="E11" s="232" t="s">
        <v>681</v>
      </c>
      <c r="F11" s="226"/>
      <c r="G11" s="227" t="s">
        <v>531</v>
      </c>
    </row>
    <row r="12" spans="1:7" ht="38" customHeight="1" x14ac:dyDescent="0.35">
      <c r="A12" s="221" t="s">
        <v>526</v>
      </c>
      <c r="B12" s="222" t="s">
        <v>695</v>
      </c>
      <c r="C12" s="223" t="s">
        <v>696</v>
      </c>
      <c r="D12" s="224" t="s">
        <v>552</v>
      </c>
      <c r="E12" s="232" t="s">
        <v>681</v>
      </c>
      <c r="F12" s="226"/>
      <c r="G12" s="227" t="s">
        <v>531</v>
      </c>
    </row>
    <row r="13" spans="1:7" ht="38" customHeight="1" x14ac:dyDescent="0.35">
      <c r="A13" s="228" t="s">
        <v>526</v>
      </c>
      <c r="B13" s="229" t="s">
        <v>697</v>
      </c>
      <c r="C13" s="230" t="s">
        <v>698</v>
      </c>
      <c r="D13" s="231" t="s">
        <v>614</v>
      </c>
      <c r="E13" s="232" t="s">
        <v>681</v>
      </c>
      <c r="F13" s="226"/>
      <c r="G13" s="227" t="s">
        <v>531</v>
      </c>
    </row>
    <row r="14" spans="1:7" ht="38" customHeight="1" x14ac:dyDescent="0.35">
      <c r="A14" s="221" t="s">
        <v>526</v>
      </c>
      <c r="B14" s="222" t="s">
        <v>699</v>
      </c>
      <c r="C14" s="223" t="s">
        <v>700</v>
      </c>
      <c r="D14" s="224" t="s">
        <v>479</v>
      </c>
      <c r="E14" s="232" t="s">
        <v>681</v>
      </c>
      <c r="F14" s="226"/>
      <c r="G14" s="227" t="s">
        <v>531</v>
      </c>
    </row>
    <row r="15" spans="1:7" ht="38" customHeight="1" x14ac:dyDescent="0.35">
      <c r="A15" s="228" t="s">
        <v>526</v>
      </c>
      <c r="B15" s="229" t="s">
        <v>701</v>
      </c>
      <c r="C15" s="230" t="s">
        <v>702</v>
      </c>
      <c r="D15" s="231" t="s">
        <v>529</v>
      </c>
      <c r="E15" s="232" t="s">
        <v>681</v>
      </c>
      <c r="F15" s="226"/>
      <c r="G15" s="227" t="s">
        <v>531</v>
      </c>
    </row>
    <row r="17" spans="1:7" ht="18" customHeight="1" x14ac:dyDescent="0.35">
      <c r="A17" s="290" t="s">
        <v>703</v>
      </c>
      <c r="B17" s="246"/>
      <c r="C17" s="246"/>
      <c r="D17" s="246"/>
      <c r="E17" s="246"/>
      <c r="F17" s="246"/>
      <c r="G17" s="246"/>
    </row>
    <row r="18" spans="1:7" ht="20" customHeight="1" x14ac:dyDescent="0.35">
      <c r="A18" s="220"/>
      <c r="B18" s="289" t="s">
        <v>704</v>
      </c>
      <c r="C18" s="246"/>
      <c r="D18" s="246"/>
      <c r="E18" s="246"/>
      <c r="F18" s="246"/>
      <c r="G18" s="246"/>
    </row>
    <row r="19" spans="1:7" ht="38" customHeight="1" x14ac:dyDescent="0.35">
      <c r="A19" s="228" t="s">
        <v>526</v>
      </c>
      <c r="B19" s="229" t="s">
        <v>705</v>
      </c>
      <c r="C19" s="230" t="s">
        <v>706</v>
      </c>
      <c r="D19" s="231" t="s">
        <v>694</v>
      </c>
      <c r="E19" s="233" t="s">
        <v>707</v>
      </c>
      <c r="F19" s="226"/>
      <c r="G19" s="227" t="s">
        <v>531</v>
      </c>
    </row>
    <row r="20" spans="1:7" ht="38" customHeight="1" x14ac:dyDescent="0.35">
      <c r="A20" s="221" t="s">
        <v>526</v>
      </c>
      <c r="B20" s="222" t="s">
        <v>708</v>
      </c>
      <c r="C20" s="223" t="s">
        <v>709</v>
      </c>
      <c r="D20" s="224" t="s">
        <v>684</v>
      </c>
      <c r="E20" s="233" t="s">
        <v>707</v>
      </c>
      <c r="F20" s="226"/>
      <c r="G20" s="227" t="s">
        <v>531</v>
      </c>
    </row>
    <row r="21" spans="1:7" ht="38" customHeight="1" x14ac:dyDescent="0.35">
      <c r="A21" s="228" t="s">
        <v>526</v>
      </c>
      <c r="B21" s="229" t="s">
        <v>710</v>
      </c>
      <c r="C21" s="230" t="s">
        <v>711</v>
      </c>
      <c r="D21" s="231" t="s">
        <v>539</v>
      </c>
      <c r="E21" s="233" t="s">
        <v>707</v>
      </c>
      <c r="F21" s="226"/>
      <c r="G21" s="227" t="s">
        <v>531</v>
      </c>
    </row>
    <row r="22" spans="1:7" ht="38" customHeight="1" x14ac:dyDescent="0.35">
      <c r="A22" s="221" t="s">
        <v>526</v>
      </c>
      <c r="B22" s="222" t="s">
        <v>712</v>
      </c>
      <c r="C22" s="223" t="s">
        <v>713</v>
      </c>
      <c r="D22" s="224" t="s">
        <v>684</v>
      </c>
      <c r="E22" s="233" t="s">
        <v>707</v>
      </c>
      <c r="F22" s="226"/>
      <c r="G22" s="227" t="s">
        <v>531</v>
      </c>
    </row>
    <row r="23" spans="1:7" ht="38" customHeight="1" x14ac:dyDescent="0.35">
      <c r="A23" s="228" t="s">
        <v>526</v>
      </c>
      <c r="B23" s="229" t="s">
        <v>714</v>
      </c>
      <c r="C23" s="230" t="s">
        <v>715</v>
      </c>
      <c r="D23" s="231" t="s">
        <v>542</v>
      </c>
      <c r="E23" s="233" t="s">
        <v>707</v>
      </c>
      <c r="F23" s="226"/>
      <c r="G23" s="227" t="s">
        <v>531</v>
      </c>
    </row>
    <row r="24" spans="1:7" ht="38" customHeight="1" x14ac:dyDescent="0.35">
      <c r="A24" s="221" t="s">
        <v>526</v>
      </c>
      <c r="B24" s="222" t="s">
        <v>716</v>
      </c>
      <c r="C24" s="223" t="s">
        <v>717</v>
      </c>
      <c r="D24" s="224" t="s">
        <v>539</v>
      </c>
      <c r="E24" s="233" t="s">
        <v>707</v>
      </c>
      <c r="F24" s="226"/>
      <c r="G24" s="227" t="s">
        <v>531</v>
      </c>
    </row>
    <row r="25" spans="1:7" ht="38" customHeight="1" x14ac:dyDescent="0.35">
      <c r="A25" s="228" t="s">
        <v>526</v>
      </c>
      <c r="B25" s="229" t="s">
        <v>718</v>
      </c>
      <c r="C25" s="230" t="s">
        <v>719</v>
      </c>
      <c r="D25" s="231" t="s">
        <v>539</v>
      </c>
      <c r="E25" s="233" t="s">
        <v>707</v>
      </c>
      <c r="F25" s="226"/>
      <c r="G25" s="227" t="s">
        <v>531</v>
      </c>
    </row>
    <row r="26" spans="1:7" ht="38" customHeight="1" x14ac:dyDescent="0.35">
      <c r="A26" s="221" t="s">
        <v>526</v>
      </c>
      <c r="B26" s="222" t="s">
        <v>720</v>
      </c>
      <c r="C26" s="223" t="s">
        <v>721</v>
      </c>
      <c r="D26" s="224" t="s">
        <v>684</v>
      </c>
      <c r="E26" s="233" t="s">
        <v>707</v>
      </c>
      <c r="F26" s="226"/>
      <c r="G26" s="227" t="s">
        <v>531</v>
      </c>
    </row>
    <row r="27" spans="1:7" ht="38" customHeight="1" x14ac:dyDescent="0.35">
      <c r="A27" s="228" t="s">
        <v>526</v>
      </c>
      <c r="B27" s="229" t="s">
        <v>722</v>
      </c>
      <c r="C27" s="230" t="s">
        <v>723</v>
      </c>
      <c r="D27" s="231" t="s">
        <v>614</v>
      </c>
      <c r="E27" s="233" t="s">
        <v>707</v>
      </c>
      <c r="F27" s="226"/>
      <c r="G27" s="227" t="s">
        <v>531</v>
      </c>
    </row>
    <row r="29" spans="1:7" ht="18" customHeight="1" x14ac:dyDescent="0.35">
      <c r="A29" s="296" t="s">
        <v>724</v>
      </c>
      <c r="B29" s="246"/>
      <c r="C29" s="246"/>
      <c r="D29" s="246"/>
      <c r="E29" s="246"/>
      <c r="F29" s="246"/>
      <c r="G29" s="246"/>
    </row>
    <row r="30" spans="1:7" ht="20" customHeight="1" x14ac:dyDescent="0.35">
      <c r="A30" s="220"/>
      <c r="B30" s="289" t="s">
        <v>725</v>
      </c>
      <c r="C30" s="246"/>
      <c r="D30" s="246"/>
      <c r="E30" s="246"/>
      <c r="F30" s="246"/>
      <c r="G30" s="246"/>
    </row>
    <row r="31" spans="1:7" ht="38" customHeight="1" x14ac:dyDescent="0.35">
      <c r="A31" s="228" t="s">
        <v>526</v>
      </c>
      <c r="B31" s="229" t="s">
        <v>726</v>
      </c>
      <c r="C31" s="230" t="s">
        <v>727</v>
      </c>
      <c r="D31" s="231" t="s">
        <v>694</v>
      </c>
      <c r="E31" s="234" t="s">
        <v>728</v>
      </c>
      <c r="F31" s="226"/>
      <c r="G31" s="227" t="s">
        <v>531</v>
      </c>
    </row>
    <row r="32" spans="1:7" ht="38" customHeight="1" x14ac:dyDescent="0.35">
      <c r="A32" s="221" t="s">
        <v>526</v>
      </c>
      <c r="B32" s="222" t="s">
        <v>729</v>
      </c>
      <c r="C32" s="223" t="s">
        <v>730</v>
      </c>
      <c r="D32" s="224" t="s">
        <v>694</v>
      </c>
      <c r="E32" s="234" t="s">
        <v>728</v>
      </c>
      <c r="F32" s="226"/>
      <c r="G32" s="227" t="s">
        <v>531</v>
      </c>
    </row>
    <row r="33" spans="1:7" ht="38" customHeight="1" x14ac:dyDescent="0.35">
      <c r="A33" s="228" t="s">
        <v>526</v>
      </c>
      <c r="B33" s="229" t="s">
        <v>731</v>
      </c>
      <c r="C33" s="230" t="s">
        <v>732</v>
      </c>
      <c r="D33" s="231" t="s">
        <v>576</v>
      </c>
      <c r="E33" s="234" t="s">
        <v>728</v>
      </c>
      <c r="F33" s="226"/>
      <c r="G33" s="227" t="s">
        <v>531</v>
      </c>
    </row>
    <row r="34" spans="1:7" ht="38" customHeight="1" x14ac:dyDescent="0.35">
      <c r="A34" s="221" t="s">
        <v>526</v>
      </c>
      <c r="B34" s="222" t="s">
        <v>733</v>
      </c>
      <c r="C34" s="223" t="s">
        <v>734</v>
      </c>
      <c r="D34" s="224" t="s">
        <v>542</v>
      </c>
      <c r="E34" s="234" t="s">
        <v>728</v>
      </c>
      <c r="F34" s="226"/>
      <c r="G34" s="227" t="s">
        <v>531</v>
      </c>
    </row>
    <row r="35" spans="1:7" ht="38" customHeight="1" x14ac:dyDescent="0.35">
      <c r="A35" s="228" t="s">
        <v>526</v>
      </c>
      <c r="B35" s="229" t="s">
        <v>735</v>
      </c>
      <c r="C35" s="230" t="s">
        <v>736</v>
      </c>
      <c r="D35" s="231" t="s">
        <v>684</v>
      </c>
      <c r="E35" s="234" t="s">
        <v>728</v>
      </c>
      <c r="F35" s="226"/>
      <c r="G35" s="227" t="s">
        <v>531</v>
      </c>
    </row>
    <row r="36" spans="1:7" ht="38" customHeight="1" x14ac:dyDescent="0.35">
      <c r="A36" s="221" t="s">
        <v>526</v>
      </c>
      <c r="B36" s="222" t="s">
        <v>737</v>
      </c>
      <c r="C36" s="223" t="s">
        <v>738</v>
      </c>
      <c r="D36" s="224" t="s">
        <v>694</v>
      </c>
      <c r="E36" s="234" t="s">
        <v>728</v>
      </c>
      <c r="F36" s="226"/>
      <c r="G36" s="227" t="s">
        <v>531</v>
      </c>
    </row>
    <row r="37" spans="1:7" ht="38" customHeight="1" x14ac:dyDescent="0.35">
      <c r="A37" s="228" t="s">
        <v>526</v>
      </c>
      <c r="B37" s="229" t="s">
        <v>739</v>
      </c>
      <c r="C37" s="230" t="s">
        <v>740</v>
      </c>
      <c r="D37" s="231" t="s">
        <v>539</v>
      </c>
      <c r="E37" s="234" t="s">
        <v>728</v>
      </c>
      <c r="F37" s="226"/>
      <c r="G37" s="227" t="s">
        <v>531</v>
      </c>
    </row>
    <row r="38" spans="1:7" ht="38" customHeight="1" x14ac:dyDescent="0.35">
      <c r="A38" s="221" t="s">
        <v>526</v>
      </c>
      <c r="B38" s="222" t="s">
        <v>741</v>
      </c>
      <c r="C38" s="223" t="s">
        <v>742</v>
      </c>
      <c r="D38" s="224" t="s">
        <v>694</v>
      </c>
      <c r="E38" s="234" t="s">
        <v>728</v>
      </c>
      <c r="F38" s="226"/>
      <c r="G38" s="227" t="s">
        <v>531</v>
      </c>
    </row>
    <row r="39" spans="1:7" ht="38" customHeight="1" x14ac:dyDescent="0.35">
      <c r="A39" s="228" t="s">
        <v>526</v>
      </c>
      <c r="B39" s="229" t="s">
        <v>743</v>
      </c>
      <c r="C39" s="230" t="s">
        <v>744</v>
      </c>
      <c r="D39" s="231" t="s">
        <v>598</v>
      </c>
      <c r="E39" s="234" t="s">
        <v>728</v>
      </c>
      <c r="F39" s="226"/>
      <c r="G39" s="227" t="s">
        <v>531</v>
      </c>
    </row>
    <row r="40" spans="1:7" ht="38" customHeight="1" x14ac:dyDescent="0.35">
      <c r="A40" s="221" t="s">
        <v>526</v>
      </c>
      <c r="B40" s="222" t="s">
        <v>745</v>
      </c>
      <c r="C40" s="223" t="s">
        <v>746</v>
      </c>
      <c r="D40" s="224" t="s">
        <v>539</v>
      </c>
      <c r="E40" s="234" t="s">
        <v>728</v>
      </c>
      <c r="F40" s="226"/>
      <c r="G40" s="227" t="s">
        <v>531</v>
      </c>
    </row>
    <row r="42" spans="1:7" ht="18" customHeight="1" x14ac:dyDescent="0.35">
      <c r="A42" s="287" t="s">
        <v>747</v>
      </c>
      <c r="B42" s="246"/>
      <c r="C42" s="246"/>
      <c r="D42" s="246"/>
      <c r="E42" s="246"/>
      <c r="F42" s="246"/>
      <c r="G42" s="246"/>
    </row>
    <row r="43" spans="1:7" ht="20" customHeight="1" x14ac:dyDescent="0.35">
      <c r="A43" s="220"/>
      <c r="B43" s="289" t="s">
        <v>748</v>
      </c>
      <c r="C43" s="246"/>
      <c r="D43" s="246"/>
      <c r="E43" s="246"/>
      <c r="F43" s="246"/>
      <c r="G43" s="246"/>
    </row>
    <row r="44" spans="1:7" ht="38" customHeight="1" x14ac:dyDescent="0.35">
      <c r="A44" s="221" t="s">
        <v>526</v>
      </c>
      <c r="B44" s="222" t="s">
        <v>749</v>
      </c>
      <c r="C44" s="223" t="s">
        <v>750</v>
      </c>
      <c r="D44" s="224" t="s">
        <v>694</v>
      </c>
      <c r="E44" s="235" t="s">
        <v>751</v>
      </c>
      <c r="F44" s="226"/>
      <c r="G44" s="227" t="s">
        <v>531</v>
      </c>
    </row>
    <row r="45" spans="1:7" ht="38" customHeight="1" x14ac:dyDescent="0.35">
      <c r="A45" s="228" t="s">
        <v>526</v>
      </c>
      <c r="B45" s="229" t="s">
        <v>752</v>
      </c>
      <c r="C45" s="230" t="s">
        <v>753</v>
      </c>
      <c r="D45" s="231" t="s">
        <v>542</v>
      </c>
      <c r="E45" s="235" t="s">
        <v>751</v>
      </c>
      <c r="F45" s="226"/>
      <c r="G45" s="227" t="s">
        <v>531</v>
      </c>
    </row>
    <row r="46" spans="1:7" ht="38" customHeight="1" x14ac:dyDescent="0.35">
      <c r="A46" s="221" t="s">
        <v>526</v>
      </c>
      <c r="B46" s="222" t="s">
        <v>754</v>
      </c>
      <c r="C46" s="223" t="s">
        <v>755</v>
      </c>
      <c r="D46" s="224" t="s">
        <v>598</v>
      </c>
      <c r="E46" s="235" t="s">
        <v>751</v>
      </c>
      <c r="F46" s="226"/>
      <c r="G46" s="227" t="s">
        <v>531</v>
      </c>
    </row>
    <row r="47" spans="1:7" ht="38" customHeight="1" x14ac:dyDescent="0.35">
      <c r="A47" s="228" t="s">
        <v>526</v>
      </c>
      <c r="B47" s="229" t="s">
        <v>756</v>
      </c>
      <c r="C47" s="230" t="s">
        <v>757</v>
      </c>
      <c r="D47" s="231" t="s">
        <v>483</v>
      </c>
      <c r="E47" s="235" t="s">
        <v>751</v>
      </c>
      <c r="F47" s="226"/>
      <c r="G47" s="227" t="s">
        <v>531</v>
      </c>
    </row>
    <row r="48" spans="1:7" ht="38" customHeight="1" x14ac:dyDescent="0.35">
      <c r="A48" s="221" t="s">
        <v>526</v>
      </c>
      <c r="B48" s="222" t="s">
        <v>758</v>
      </c>
      <c r="C48" s="223" t="s">
        <v>759</v>
      </c>
      <c r="D48" s="224" t="s">
        <v>694</v>
      </c>
      <c r="E48" s="235" t="s">
        <v>751</v>
      </c>
      <c r="F48" s="226"/>
      <c r="G48" s="227" t="s">
        <v>531</v>
      </c>
    </row>
    <row r="49" spans="1:7" ht="38" customHeight="1" x14ac:dyDescent="0.35">
      <c r="A49" s="228" t="s">
        <v>526</v>
      </c>
      <c r="B49" s="229" t="s">
        <v>760</v>
      </c>
      <c r="C49" s="230" t="s">
        <v>761</v>
      </c>
      <c r="D49" s="231" t="s">
        <v>617</v>
      </c>
      <c r="E49" s="235" t="s">
        <v>751</v>
      </c>
      <c r="F49" s="226"/>
      <c r="G49" s="227" t="s">
        <v>531</v>
      </c>
    </row>
    <row r="50" spans="1:7" ht="38" customHeight="1" x14ac:dyDescent="0.35">
      <c r="A50" s="221" t="s">
        <v>526</v>
      </c>
      <c r="B50" s="222" t="s">
        <v>762</v>
      </c>
      <c r="C50" s="223" t="s">
        <v>763</v>
      </c>
      <c r="D50" s="224" t="s">
        <v>479</v>
      </c>
      <c r="E50" s="235" t="s">
        <v>751</v>
      </c>
      <c r="F50" s="226"/>
      <c r="G50" s="227" t="s">
        <v>531</v>
      </c>
    </row>
    <row r="51" spans="1:7" ht="38" customHeight="1" x14ac:dyDescent="0.35">
      <c r="A51" s="228" t="s">
        <v>526</v>
      </c>
      <c r="B51" s="229" t="s">
        <v>764</v>
      </c>
      <c r="C51" s="230" t="s">
        <v>765</v>
      </c>
      <c r="D51" s="231" t="s">
        <v>614</v>
      </c>
      <c r="E51" s="235" t="s">
        <v>751</v>
      </c>
      <c r="F51" s="226"/>
      <c r="G51" s="227" t="s">
        <v>531</v>
      </c>
    </row>
    <row r="52" spans="1:7" ht="38" customHeight="1" x14ac:dyDescent="0.35">
      <c r="A52" s="221" t="s">
        <v>526</v>
      </c>
      <c r="B52" s="222" t="s">
        <v>766</v>
      </c>
      <c r="C52" s="223" t="s">
        <v>767</v>
      </c>
      <c r="D52" s="224" t="s">
        <v>529</v>
      </c>
      <c r="E52" s="235" t="s">
        <v>751</v>
      </c>
      <c r="F52" s="226"/>
      <c r="G52" s="227" t="s">
        <v>531</v>
      </c>
    </row>
    <row r="54" spans="1:7" ht="18" customHeight="1" x14ac:dyDescent="0.35">
      <c r="A54" s="294" t="s">
        <v>768</v>
      </c>
      <c r="B54" s="246"/>
      <c r="C54" s="246"/>
      <c r="D54" s="246"/>
      <c r="E54" s="246"/>
      <c r="F54" s="246"/>
      <c r="G54" s="246"/>
    </row>
    <row r="55" spans="1:7" ht="20" customHeight="1" x14ac:dyDescent="0.35">
      <c r="A55" s="220"/>
      <c r="B55" s="289" t="s">
        <v>769</v>
      </c>
      <c r="C55" s="246"/>
      <c r="D55" s="246"/>
      <c r="E55" s="246"/>
      <c r="F55" s="246"/>
      <c r="G55" s="246"/>
    </row>
    <row r="56" spans="1:7" ht="38" customHeight="1" x14ac:dyDescent="0.35">
      <c r="A56" s="221" t="s">
        <v>526</v>
      </c>
      <c r="B56" s="222" t="s">
        <v>770</v>
      </c>
      <c r="C56" s="223" t="s">
        <v>771</v>
      </c>
      <c r="D56" s="224" t="s">
        <v>684</v>
      </c>
      <c r="E56" s="236" t="s">
        <v>772</v>
      </c>
      <c r="F56" s="226"/>
      <c r="G56" s="238" t="s">
        <v>665</v>
      </c>
    </row>
    <row r="57" spans="1:7" ht="38" customHeight="1" x14ac:dyDescent="0.35">
      <c r="A57" s="228" t="s">
        <v>526</v>
      </c>
      <c r="B57" s="229" t="s">
        <v>773</v>
      </c>
      <c r="C57" s="230" t="s">
        <v>774</v>
      </c>
      <c r="D57" s="231" t="s">
        <v>775</v>
      </c>
      <c r="E57" s="236" t="s">
        <v>772</v>
      </c>
      <c r="F57" s="226"/>
      <c r="G57" s="238" t="s">
        <v>665</v>
      </c>
    </row>
    <row r="58" spans="1:7" ht="38" customHeight="1" x14ac:dyDescent="0.35">
      <c r="A58" s="221" t="s">
        <v>526</v>
      </c>
      <c r="B58" s="222" t="s">
        <v>776</v>
      </c>
      <c r="C58" s="223" t="s">
        <v>777</v>
      </c>
      <c r="D58" s="224" t="s">
        <v>598</v>
      </c>
      <c r="E58" s="236" t="s">
        <v>772</v>
      </c>
      <c r="F58" s="226"/>
      <c r="G58" s="238" t="s">
        <v>665</v>
      </c>
    </row>
    <row r="59" spans="1:7" ht="38" customHeight="1" x14ac:dyDescent="0.35">
      <c r="A59" s="228" t="s">
        <v>526</v>
      </c>
      <c r="B59" s="229" t="s">
        <v>778</v>
      </c>
      <c r="C59" s="230" t="s">
        <v>779</v>
      </c>
      <c r="D59" s="231" t="s">
        <v>569</v>
      </c>
      <c r="E59" s="236" t="s">
        <v>772</v>
      </c>
      <c r="F59" s="226"/>
      <c r="G59" s="238" t="s">
        <v>665</v>
      </c>
    </row>
    <row r="60" spans="1:7" ht="38" customHeight="1" x14ac:dyDescent="0.35">
      <c r="A60" s="221" t="s">
        <v>526</v>
      </c>
      <c r="B60" s="222" t="s">
        <v>780</v>
      </c>
      <c r="C60" s="223" t="s">
        <v>781</v>
      </c>
      <c r="D60" s="224" t="s">
        <v>614</v>
      </c>
      <c r="E60" s="236" t="s">
        <v>772</v>
      </c>
      <c r="F60" s="226"/>
      <c r="G60" s="238" t="s">
        <v>665</v>
      </c>
    </row>
    <row r="61" spans="1:7" ht="38" customHeight="1" x14ac:dyDescent="0.35">
      <c r="A61" s="228" t="s">
        <v>526</v>
      </c>
      <c r="B61" s="229" t="s">
        <v>782</v>
      </c>
      <c r="C61" s="230" t="s">
        <v>783</v>
      </c>
      <c r="D61" s="231" t="s">
        <v>784</v>
      </c>
      <c r="E61" s="236" t="s">
        <v>772</v>
      </c>
      <c r="F61" s="226"/>
      <c r="G61" s="238" t="s">
        <v>665</v>
      </c>
    </row>
    <row r="62" spans="1:7" ht="38" customHeight="1" x14ac:dyDescent="0.35">
      <c r="A62" s="221" t="s">
        <v>526</v>
      </c>
      <c r="B62" s="222" t="s">
        <v>785</v>
      </c>
      <c r="C62" s="223" t="s">
        <v>786</v>
      </c>
      <c r="D62" s="224" t="s">
        <v>529</v>
      </c>
      <c r="E62" s="236" t="s">
        <v>772</v>
      </c>
      <c r="F62" s="226"/>
      <c r="G62" s="238" t="s">
        <v>665</v>
      </c>
    </row>
    <row r="63" spans="1:7" ht="38" customHeight="1" x14ac:dyDescent="0.35">
      <c r="A63" s="228" t="s">
        <v>526</v>
      </c>
      <c r="B63" s="229" t="s">
        <v>787</v>
      </c>
      <c r="C63" s="230" t="s">
        <v>788</v>
      </c>
      <c r="D63" s="231" t="s">
        <v>617</v>
      </c>
      <c r="E63" s="236" t="s">
        <v>772</v>
      </c>
      <c r="F63" s="226"/>
      <c r="G63" s="238" t="s">
        <v>665</v>
      </c>
    </row>
    <row r="64" spans="1:7" ht="38" customHeight="1" x14ac:dyDescent="0.35">
      <c r="A64" s="221" t="s">
        <v>526</v>
      </c>
      <c r="B64" s="222" t="s">
        <v>789</v>
      </c>
      <c r="C64" s="223" t="s">
        <v>790</v>
      </c>
      <c r="D64" s="224" t="s">
        <v>694</v>
      </c>
      <c r="E64" s="236" t="s">
        <v>772</v>
      </c>
      <c r="F64" s="226"/>
      <c r="G64" s="238" t="s">
        <v>665</v>
      </c>
    </row>
    <row r="66" spans="1:7" ht="18" customHeight="1" x14ac:dyDescent="0.35">
      <c r="A66" s="295" t="s">
        <v>791</v>
      </c>
      <c r="B66" s="246"/>
      <c r="C66" s="246"/>
      <c r="D66" s="246"/>
      <c r="E66" s="246"/>
      <c r="F66" s="246"/>
      <c r="G66" s="246"/>
    </row>
    <row r="67" spans="1:7" ht="20" customHeight="1" x14ac:dyDescent="0.35">
      <c r="A67" s="220"/>
      <c r="B67" s="289" t="s">
        <v>792</v>
      </c>
      <c r="C67" s="246"/>
      <c r="D67" s="246"/>
      <c r="E67" s="246"/>
      <c r="F67" s="246"/>
      <c r="G67" s="246"/>
    </row>
    <row r="68" spans="1:7" ht="38" customHeight="1" x14ac:dyDescent="0.35">
      <c r="A68" s="221"/>
      <c r="B68" s="222" t="s">
        <v>793</v>
      </c>
      <c r="C68" s="223" t="s">
        <v>794</v>
      </c>
      <c r="D68" s="224" t="s">
        <v>652</v>
      </c>
      <c r="E68" s="237" t="s">
        <v>795</v>
      </c>
      <c r="F68" s="226"/>
      <c r="G68" s="239"/>
    </row>
    <row r="69" spans="1:7" ht="38" customHeight="1" x14ac:dyDescent="0.35">
      <c r="A69" s="228"/>
      <c r="B69" s="229" t="s">
        <v>796</v>
      </c>
      <c r="C69" s="230" t="s">
        <v>797</v>
      </c>
      <c r="D69" s="231" t="s">
        <v>798</v>
      </c>
      <c r="E69" s="237" t="s">
        <v>795</v>
      </c>
      <c r="F69" s="226"/>
      <c r="G69" s="239"/>
    </row>
    <row r="70" spans="1:7" ht="38" customHeight="1" x14ac:dyDescent="0.35">
      <c r="A70" s="221"/>
      <c r="B70" s="222" t="s">
        <v>799</v>
      </c>
      <c r="C70" s="223" t="s">
        <v>800</v>
      </c>
      <c r="D70" s="224" t="s">
        <v>801</v>
      </c>
      <c r="E70" s="237" t="s">
        <v>795</v>
      </c>
      <c r="F70" s="226"/>
      <c r="G70" s="239"/>
    </row>
    <row r="71" spans="1:7" ht="38" customHeight="1" x14ac:dyDescent="0.35">
      <c r="A71" s="228"/>
      <c r="B71" s="229" t="s">
        <v>802</v>
      </c>
      <c r="C71" s="230" t="s">
        <v>803</v>
      </c>
      <c r="D71" s="231" t="s">
        <v>804</v>
      </c>
      <c r="E71" s="237" t="s">
        <v>795</v>
      </c>
      <c r="F71" s="226"/>
      <c r="G71" s="239"/>
    </row>
    <row r="72" spans="1:7" ht="38" customHeight="1" x14ac:dyDescent="0.35">
      <c r="A72" s="221"/>
      <c r="B72" s="222" t="s">
        <v>805</v>
      </c>
      <c r="C72" s="223" t="s">
        <v>806</v>
      </c>
      <c r="D72" s="224" t="s">
        <v>807</v>
      </c>
      <c r="E72" s="237" t="s">
        <v>795</v>
      </c>
      <c r="F72" s="226"/>
      <c r="G72" s="239"/>
    </row>
    <row r="73" spans="1:7" ht="38" customHeight="1" x14ac:dyDescent="0.35">
      <c r="A73" s="228"/>
      <c r="B73" s="229" t="s">
        <v>808</v>
      </c>
      <c r="C73" s="230" t="s">
        <v>809</v>
      </c>
      <c r="D73" s="231" t="s">
        <v>694</v>
      </c>
      <c r="E73" s="237" t="s">
        <v>795</v>
      </c>
      <c r="F73" s="226"/>
      <c r="G73" s="239"/>
    </row>
    <row r="74" spans="1:7" ht="38" customHeight="1" x14ac:dyDescent="0.35">
      <c r="A74" s="221"/>
      <c r="B74" s="222" t="s">
        <v>810</v>
      </c>
      <c r="C74" s="223" t="s">
        <v>811</v>
      </c>
      <c r="D74" s="224" t="s">
        <v>652</v>
      </c>
      <c r="E74" s="237" t="s">
        <v>795</v>
      </c>
      <c r="F74" s="226"/>
      <c r="G74" s="239"/>
    </row>
    <row r="75" spans="1:7" ht="38" customHeight="1" x14ac:dyDescent="0.35">
      <c r="A75" s="228"/>
      <c r="B75" s="229" t="s">
        <v>812</v>
      </c>
      <c r="C75" s="230" t="s">
        <v>813</v>
      </c>
      <c r="D75" s="231" t="s">
        <v>614</v>
      </c>
      <c r="E75" s="237" t="s">
        <v>795</v>
      </c>
      <c r="F75" s="226"/>
      <c r="G75" s="239"/>
    </row>
    <row r="77" spans="1:7" ht="22" customHeight="1" x14ac:dyDescent="0.35">
      <c r="A77" s="291" t="s">
        <v>814</v>
      </c>
      <c r="B77" s="246"/>
      <c r="C77" s="246"/>
      <c r="D77" s="246"/>
      <c r="E77" s="246"/>
      <c r="F77" s="246"/>
      <c r="G77" s="246"/>
    </row>
  </sheetData>
  <mergeCells count="15">
    <mergeCell ref="A77:G77"/>
    <mergeCell ref="A4:G4"/>
    <mergeCell ref="B55:G55"/>
    <mergeCell ref="A2:G2"/>
    <mergeCell ref="B43:G43"/>
    <mergeCell ref="B18:G18"/>
    <mergeCell ref="A29:G29"/>
    <mergeCell ref="A54:G54"/>
    <mergeCell ref="B30:G30"/>
    <mergeCell ref="A42:G42"/>
    <mergeCell ref="A66:G66"/>
    <mergeCell ref="A1:G1"/>
    <mergeCell ref="A17:G17"/>
    <mergeCell ref="B5:G5"/>
    <mergeCell ref="B67:G67"/>
  </mergeCells>
  <pageMargins left="0.75" right="0.75" top="1" bottom="1" header="0.5" footer="0.5"/>
</worksheet>
</file>

<file path=docMetadata/LabelInfo.xml><?xml version="1.0" encoding="utf-8"?>
<clbl:labelList xmlns:clbl="http://schemas.microsoft.com/office/2020/mipLabelMetadata">
  <clbl:label id="{00a63304-6dc1-41cd-bc80-d6d31c0ce590}"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 Your Business Today</vt:lpstr>
      <vt:lpstr>2 · Your Copilot Practice</vt:lpstr>
      <vt:lpstr>3 · Before vs After</vt:lpstr>
      <vt:lpstr>4 · Executive Summary</vt:lpstr>
      <vt:lpstr>5 · Scenario Analysis</vt:lpstr>
      <vt:lpstr>6 · Engagement Mechanics</vt:lpstr>
      <vt:lpstr>7 · Sprint Templates</vt:lpstr>
      <vt:lpstr>8 · Activation Worklist</vt:lpstr>
      <vt:lpstr>9 · Agent Build Worklist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Lince, Ken</cp:lastModifiedBy>
  <cp:revision>30</cp:revision>
  <dcterms:created xsi:type="dcterms:W3CDTF">2026-04-08T20:03:52Z</dcterms:created>
  <dcterms:modified xsi:type="dcterms:W3CDTF">2026-04-22T02:01:53Z</dcterms:modified>
  <dc:language>en-US</dc:language>
</cp:coreProperties>
</file>